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mmatanov\Desktop\"/>
    </mc:Choice>
  </mc:AlternateContent>
  <xr:revisionPtr revIDLastSave="0" documentId="13_ncr:1_{D34E5B79-D60F-4C08-A082-61F4F83499D4}" xr6:coauthVersionLast="47" xr6:coauthVersionMax="47" xr10:uidLastSave="{00000000-0000-0000-0000-000000000000}"/>
  <bookViews>
    <workbookView xWindow="30" yWindow="30" windowWidth="28770" windowHeight="15570" activeTab="10" xr2:uid="{A66A49C8-3999-49E1-8C8A-50C4D4B99AB5}"/>
  </bookViews>
  <sheets>
    <sheet name="objava 03" sheetId="2" r:id="rId1"/>
    <sheet name="objava 04" sheetId="4" r:id="rId2"/>
    <sheet name="objava 05" sheetId="6" r:id="rId3"/>
    <sheet name="objava 06" sheetId="7" r:id="rId4"/>
    <sheet name="objava 07" sheetId="8" r:id="rId5"/>
    <sheet name="objava 08" sheetId="9" r:id="rId6"/>
    <sheet name="objava 09" sheetId="10" r:id="rId7"/>
    <sheet name="objava 10" sheetId="11" r:id="rId8"/>
    <sheet name="objava 11" sheetId="12" r:id="rId9"/>
    <sheet name="objava 12" sheetId="13" r:id="rId10"/>
    <sheet name="objava 01-25" sheetId="1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4" l="1"/>
  <c r="F9" i="14"/>
  <c r="F16" i="14"/>
  <c r="F6" i="14"/>
  <c r="F7" i="14"/>
  <c r="F14" i="14"/>
  <c r="F10" i="14"/>
  <c r="F8" i="14"/>
  <c r="F5" i="14"/>
  <c r="F4" i="14"/>
  <c r="F13" i="14"/>
  <c r="F12" i="14"/>
  <c r="F18" i="13"/>
  <c r="F16" i="13"/>
  <c r="F15" i="13"/>
  <c r="F7" i="13"/>
  <c r="F9" i="13"/>
  <c r="F19" i="13"/>
  <c r="F6" i="13"/>
  <c r="F11" i="13"/>
  <c r="F17" i="13"/>
  <c r="F10" i="13"/>
  <c r="F8" i="13"/>
  <c r="F5" i="13"/>
  <c r="F4" i="13"/>
  <c r="F13" i="13"/>
  <c r="F14" i="12"/>
  <c r="F13" i="12"/>
  <c r="F10" i="12"/>
  <c r="F8" i="12"/>
  <c r="F12" i="12"/>
  <c r="F15" i="12"/>
  <c r="F11" i="12"/>
  <c r="F12" i="11"/>
  <c r="F14" i="11"/>
  <c r="F15" i="11"/>
  <c r="F8" i="11"/>
  <c r="F16" i="11"/>
  <c r="F10" i="11"/>
  <c r="F13" i="11"/>
  <c r="F18" i="11"/>
  <c r="F6" i="11"/>
  <c r="F7" i="11"/>
  <c r="F9" i="11"/>
  <c r="F5" i="11"/>
  <c r="F4" i="11"/>
  <c r="F17" i="11"/>
  <c r="F11" i="11"/>
  <c r="F14" i="10"/>
  <c r="F15" i="10"/>
  <c r="F10" i="10"/>
  <c r="F11" i="10"/>
  <c r="F8" i="10"/>
  <c r="F12" i="10"/>
  <c r="F6" i="10"/>
  <c r="F17" i="9"/>
  <c r="F19" i="9"/>
  <c r="F14" i="9"/>
  <c r="F12" i="9"/>
  <c r="F13" i="9"/>
  <c r="F8" i="9"/>
  <c r="F6" i="9"/>
  <c r="F11" i="9"/>
  <c r="F15" i="9"/>
  <c r="F17" i="8"/>
  <c r="F16" i="8"/>
  <c r="F15" i="8"/>
  <c r="F21" i="8"/>
  <c r="F23" i="8"/>
  <c r="F18" i="8"/>
  <c r="F11" i="8"/>
  <c r="F14" i="8"/>
  <c r="F8" i="8"/>
  <c r="F10" i="8"/>
  <c r="F22" i="8"/>
  <c r="F6" i="8"/>
  <c r="F9" i="8"/>
  <c r="F7" i="8"/>
  <c r="F5" i="8"/>
  <c r="F4" i="8"/>
  <c r="F13" i="8"/>
  <c r="F19" i="8"/>
  <c r="F7" i="7"/>
  <c r="F4" i="7"/>
  <c r="F6" i="7"/>
  <c r="F18" i="7"/>
  <c r="F9" i="7"/>
  <c r="F5" i="7"/>
  <c r="F13" i="7"/>
  <c r="F8" i="7"/>
  <c r="F14" i="7"/>
  <c r="F19" i="7"/>
  <c r="F12" i="7"/>
  <c r="F11" i="7"/>
  <c r="F10" i="7"/>
  <c r="F15" i="6"/>
  <c r="F16" i="6"/>
  <c r="F6" i="6"/>
  <c r="F4" i="6"/>
  <c r="F8" i="6"/>
  <c r="F18" i="6"/>
  <c r="F13" i="6"/>
  <c r="F12" i="6"/>
  <c r="F10" i="6"/>
  <c r="F14" i="6"/>
  <c r="F6" i="4"/>
  <c r="F4" i="4"/>
  <c r="F7" i="4"/>
  <c r="F17" i="4"/>
  <c r="F8" i="4"/>
  <c r="F18" i="4"/>
  <c r="F20" i="4"/>
  <c r="F15" i="4"/>
  <c r="F14" i="4"/>
  <c r="F13" i="4"/>
  <c r="F10" i="4"/>
  <c r="F17" i="2"/>
</calcChain>
</file>

<file path=xl/sharedStrings.xml><?xml version="1.0" encoding="utf-8"?>
<sst xmlns="http://schemas.openxmlformats.org/spreadsheetml/2006/main" count="639" uniqueCount="132">
  <si>
    <t>3291</t>
  </si>
  <si>
    <t>Naknade za rad predstavničkih i izvršnih tijela, povjerenstava i slično</t>
  </si>
  <si>
    <t>Pristojbe i naknade</t>
  </si>
  <si>
    <t>Plaće za redovan rad</t>
  </si>
  <si>
    <t>Plaće za prekovremeni rad</t>
  </si>
  <si>
    <t>Naknade za prijevoz, za rad na terenu i odvojeni život</t>
  </si>
  <si>
    <t>Doprinosi za obvezno zdravstveno osiguranje</t>
  </si>
  <si>
    <t>Ostali rashodi za zaposlene</t>
  </si>
  <si>
    <t>Službena putovanja</t>
  </si>
  <si>
    <t>Potraživanja za naknade koje se refundiraju i predujmove</t>
  </si>
  <si>
    <t>NAZIV ISPLATITELJA</t>
  </si>
  <si>
    <t>LUČKA UPRAVA RIJEKA</t>
  </si>
  <si>
    <t>ISPLAĆENI IZNOS U EURIMA</t>
  </si>
  <si>
    <t>NAZIV PRIMATELJA</t>
  </si>
  <si>
    <t>OIB</t>
  </si>
  <si>
    <t>SJEDIŠTE/PREBIVALIŠTE PRIMATELJA</t>
  </si>
  <si>
    <t>VRSTA RASHODA / IZDATKA</t>
  </si>
  <si>
    <t>DRŽAVNI PRORAČUN</t>
  </si>
  <si>
    <t>HZZO</t>
  </si>
  <si>
    <t>Obveze za porez na dodanu vrijednost</t>
  </si>
  <si>
    <t>Margaretska 3, Zagreb</t>
  </si>
  <si>
    <t>GODINA</t>
  </si>
  <si>
    <t>MJESEC</t>
  </si>
  <si>
    <t>INFORMACIJE O ISPLATI SREDSTAVA ZA OŽUJAK 2024.</t>
  </si>
  <si>
    <t>04</t>
  </si>
  <si>
    <t>Usluge platnog prometa</t>
  </si>
  <si>
    <t>ERSTE&amp;STEIERMARKISCHE D.D.</t>
  </si>
  <si>
    <t>23057039320</t>
  </si>
  <si>
    <t>Jadranski trg 3a, Rijeka</t>
  </si>
  <si>
    <t>Ostali materijal za potrebe redovnog poslovanja</t>
  </si>
  <si>
    <t>NARODNE NOVINE D.D.</t>
  </si>
  <si>
    <t>64546066176</t>
  </si>
  <si>
    <t>Savski gaj, XIII. 6., Zagreb</t>
  </si>
  <si>
    <t>Usluge tekućeg i investicijskog održavanja</t>
  </si>
  <si>
    <t>VULKANIZACIJA GUMA MRAK D.O.O.</t>
  </si>
  <si>
    <t>04511678380</t>
  </si>
  <si>
    <t>Corrada Ilijassicha 19A, Rijeka</t>
  </si>
  <si>
    <t>INFORMACIJE O ISPLATI SREDSTAVA ZA TRAVANJ 2024.</t>
  </si>
  <si>
    <t>Ostale usluge</t>
  </si>
  <si>
    <t>MILENIJ HOTELI D..O..O.</t>
  </si>
  <si>
    <t>78796880101</t>
  </si>
  <si>
    <t>Viktora Cara Emina 6, Opatija</t>
  </si>
  <si>
    <t xml:space="preserve">DRŽAVNI PRORAČUN </t>
  </si>
  <si>
    <t>NENSI OBRT, VL.NEDELJKA ČUČUKOVIĆ</t>
  </si>
  <si>
    <t>JAVNI BILJEŽNIK MARINA SABLIĆ DORČIĆ</t>
  </si>
  <si>
    <t>05</t>
  </si>
  <si>
    <t>Zatezne kamate</t>
  </si>
  <si>
    <t>Uredski materijal i ostali materijalni rashodi</t>
  </si>
  <si>
    <t>Bankarske usluge i usluge platnog prometa</t>
  </si>
  <si>
    <t>INFORMACIJE O ISPLATI SREDSTAVA ZA SVIBANJ 2024.</t>
  </si>
  <si>
    <t>Usluge promidžbe i informiranja</t>
  </si>
  <si>
    <t>FOTO KURTI, VL. NIKOLA KURTI</t>
  </si>
  <si>
    <t>JAVNI BILJEŽNIK EMINA VUKELIĆ</t>
  </si>
  <si>
    <t>ZAGREBAČKA BANKA</t>
  </si>
  <si>
    <t>92963223473</t>
  </si>
  <si>
    <t>Trg bana Josipa Jelačića 10, 1000 Zagreb</t>
  </si>
  <si>
    <t>Intelektualne i osobne usluge</t>
  </si>
  <si>
    <t>INFORMACIJE O ISPLATI SREDSTAVA ZA LIPANJ 2024.</t>
  </si>
  <si>
    <t>06</t>
  </si>
  <si>
    <t>6</t>
  </si>
  <si>
    <t>LURIDUS D.O.O.</t>
  </si>
  <si>
    <t>27593647554</t>
  </si>
  <si>
    <t>Partizanski put 26, Rijeka</t>
  </si>
  <si>
    <t>CAPO D.O.O.</t>
  </si>
  <si>
    <t>23175979745</t>
  </si>
  <si>
    <t>Veslarska 8, Rijeka</t>
  </si>
  <si>
    <t>Materijal i dijelovi za tekuće i investicijsko održavanje</t>
  </si>
  <si>
    <t>INFORMACIJE O ISPLATI SREDSTAVA ZA SRPANJ 2024.</t>
  </si>
  <si>
    <t>07</t>
  </si>
  <si>
    <t>ZRAČNA LUKA RIJEKA d.o.o.</t>
  </si>
  <si>
    <t>37940245720</t>
  </si>
  <si>
    <t>Hamec 1, Omišalj</t>
  </si>
  <si>
    <t>Ostali rashodi za službena putovanja</t>
  </si>
  <si>
    <t>Reprezentacija</t>
  </si>
  <si>
    <t>ZIJAVICA d.o.o.</t>
  </si>
  <si>
    <t>61685474991</t>
  </si>
  <si>
    <t>Kraj 18, Mošćenička draga</t>
  </si>
  <si>
    <t>UNIMAR RIJEKA d.o.o.</t>
  </si>
  <si>
    <t>95950787630</t>
  </si>
  <si>
    <t>Preluk 6a, Rijeka</t>
  </si>
  <si>
    <t>Materijal i sredstav za čišćenje i održavanje</t>
  </si>
  <si>
    <t>KONZUM PLUS d.o.o.</t>
  </si>
  <si>
    <t>62226620908</t>
  </si>
  <si>
    <t>Marijana Čavića 1/a, Zagreb</t>
  </si>
  <si>
    <t>Ostali nespomenuti rashodi poslovanja</t>
  </si>
  <si>
    <t>KORNELIA BADURINA</t>
  </si>
  <si>
    <t>87311810356</t>
  </si>
  <si>
    <t>Korzo 13, Rijeka</t>
  </si>
  <si>
    <t>NOVI LIST d.d.</t>
  </si>
  <si>
    <t>44110106406</t>
  </si>
  <si>
    <t>Zvonimirova 20a, Rijeka</t>
  </si>
  <si>
    <t>HP - HRVATSKA POŠTA d.d.</t>
  </si>
  <si>
    <t>INFORMACIJE O ISPLATI SREDSTAVA ZA KOLOVOZ 2024.</t>
  </si>
  <si>
    <t>08</t>
  </si>
  <si>
    <t>INA - INDUSTRIJA NAFTE</t>
  </si>
  <si>
    <t>VULKANIZERSKI OBRT "POTOK" - VL.IGOR PROTUĐER</t>
  </si>
  <si>
    <t>LESNINA H d.o.o.</t>
  </si>
  <si>
    <t>36998794856</t>
  </si>
  <si>
    <t>Kukuljanovo 345, Škrljevo</t>
  </si>
  <si>
    <t>INFORMACIJE O ISPLATI SREDSTAVA ZA RUJAN 2024.</t>
  </si>
  <si>
    <t>09</t>
  </si>
  <si>
    <t>Zakupnine i najamnine</t>
  </si>
  <si>
    <t>NAMECHEAP INC.</t>
  </si>
  <si>
    <t>4600 East Washington street, Suite 300, Phoenix, AZ 85034 ,USA</t>
  </si>
  <si>
    <t>INFORMACIJE O ISPLATI SREDSTAVA ZA LISTOPAD 2024.</t>
  </si>
  <si>
    <t>10</t>
  </si>
  <si>
    <t>TOKIĆ d.o.o.</t>
  </si>
  <si>
    <t>74867487620</t>
  </si>
  <si>
    <t>144 Brigade Hrvatske Vojske 1a, Sesvete</t>
  </si>
  <si>
    <t>INFORMACIJE O ISPLATI SREDSTAVA ZA STUDENI 2024.</t>
  </si>
  <si>
    <t>11</t>
  </si>
  <si>
    <t>PETROL d.o.o.</t>
  </si>
  <si>
    <t>75550985023</t>
  </si>
  <si>
    <t>Savska Opatovina 36,Zagreb</t>
  </si>
  <si>
    <t>Energija</t>
  </si>
  <si>
    <t>INFORMACIJE O ISPLATI SREDSTAVA ZA PROSINAC 2024.</t>
  </si>
  <si>
    <t>12</t>
  </si>
  <si>
    <t>Materijal i dielovi za tek.i inv.održavanje</t>
  </si>
  <si>
    <t>DAMAN D.O.O.</t>
  </si>
  <si>
    <t>LB KOM D.O.O.</t>
  </si>
  <si>
    <t>Uredski materijal</t>
  </si>
  <si>
    <t>MEDCOM</t>
  </si>
  <si>
    <t>OBRT CLASIC - POMERIO, VL.NENAD DOBRAS</t>
  </si>
  <si>
    <t>POMERIO 24, RIJEKA</t>
  </si>
  <si>
    <t>99465082167</t>
  </si>
  <si>
    <t>ADAMIĆEVA 13A, RIJEKA</t>
  </si>
  <si>
    <t>77080293828</t>
  </si>
  <si>
    <t>ŠKOLJIĆ 8/A, RIJEKA</t>
  </si>
  <si>
    <t>63854734452</t>
  </si>
  <si>
    <t>MARINA JAKOMINIĆA 2, RIJEKA</t>
  </si>
  <si>
    <t>INFORMACIJE O ISPLATI SREDSTAVA ZA SIJEČANJ 2025.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</si>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</sst>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/>
    <xf numFmtId="49" fontId="3" fillId="4" borderId="1" xfId="0" applyNumberFormat="1" applyFont="1" applyFill="1" applyBorder="1" applyAlignment="1">
      <alignment horizontal="right"/>
    </xf>
    <xf numFmtId="0" fontId="2" fillId="4" borderId="1" xfId="3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3" fillId="4" borderId="0" xfId="0" applyNumberFormat="1" applyFont="1" applyFill="1"/>
    <xf numFmtId="4" fontId="0" fillId="4" borderId="0" xfId="0" applyNumberForma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Fill="1"/>
    <xf numFmtId="4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49" fontId="3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4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</cellXfs>
  <cellStyles count="4">
    <cellStyle name="Normal" xfId="0" builtinId="0"/>
    <cellStyle name="Obično_List2" xfId="2" xr:uid="{2005B1A2-6678-4083-8CC7-4945E4ED9598}"/>
    <cellStyle name="Obično_List3" xfId="3" xr:uid="{A9E24C7D-928C-4C69-AE84-4662346C8165}"/>
    <cellStyle name="Obično_List4" xfId="1" xr:uid="{93EBD039-9762-4D61-85AF-6595BFD34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A37A-123A-41B2-AE27-439E7956DBC5}">
  <dimension ref="A1:S25"/>
  <sheetViews>
    <sheetView workbookViewId="0">
      <selection activeCell="D17" sqref="D17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5" width="8.875" style="4"/>
    <col min="16" max="17" width="8.875" style="1"/>
  </cols>
  <sheetData>
    <row r="1" spans="1:19">
      <c r="A1" s="2" t="s">
        <v>23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>
      <c r="A4" s="50" t="s">
        <v>11</v>
      </c>
      <c r="B4" s="8">
        <v>2024</v>
      </c>
      <c r="C4" s="10" t="s">
        <v>24</v>
      </c>
      <c r="D4" s="11">
        <v>3111</v>
      </c>
      <c r="E4" s="12" t="s">
        <v>3</v>
      </c>
      <c r="F4" s="13"/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0"/>
      <c r="B5" s="8">
        <v>2024</v>
      </c>
      <c r="C5" s="10" t="s">
        <v>24</v>
      </c>
      <c r="D5" s="11">
        <v>3113</v>
      </c>
      <c r="E5" s="12" t="s">
        <v>4</v>
      </c>
      <c r="F5" s="13"/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0"/>
      <c r="B6" s="8">
        <v>2024</v>
      </c>
      <c r="C6" s="10" t="s">
        <v>24</v>
      </c>
      <c r="D6" s="11">
        <v>3121</v>
      </c>
      <c r="E6" s="12" t="s">
        <v>7</v>
      </c>
      <c r="F6" s="13"/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0"/>
      <c r="B7" s="8">
        <v>2024</v>
      </c>
      <c r="C7" s="10" t="s">
        <v>24</v>
      </c>
      <c r="D7" s="11">
        <v>3132</v>
      </c>
      <c r="E7" s="12" t="s">
        <v>6</v>
      </c>
      <c r="F7" s="13"/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0"/>
      <c r="B8" s="8">
        <v>2024</v>
      </c>
      <c r="C8" s="10" t="s">
        <v>24</v>
      </c>
      <c r="D8" s="11">
        <v>3211</v>
      </c>
      <c r="E8" s="12" t="s">
        <v>8</v>
      </c>
      <c r="F8" s="13"/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0"/>
      <c r="B9" s="8">
        <v>2024</v>
      </c>
      <c r="C9" s="10" t="s">
        <v>24</v>
      </c>
      <c r="D9" s="11">
        <v>3212</v>
      </c>
      <c r="E9" s="12" t="s">
        <v>5</v>
      </c>
      <c r="F9" s="13"/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5.5">
      <c r="A10" s="50"/>
      <c r="B10" s="8">
        <v>2024</v>
      </c>
      <c r="C10" s="10" t="s">
        <v>24</v>
      </c>
      <c r="D10" s="11">
        <v>32219</v>
      </c>
      <c r="E10" s="27" t="s">
        <v>29</v>
      </c>
      <c r="F10" s="13"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0"/>
      <c r="B11" s="8">
        <v>2024</v>
      </c>
      <c r="C11" s="10" t="s">
        <v>24</v>
      </c>
      <c r="D11" s="11">
        <v>3232</v>
      </c>
      <c r="E11" s="27" t="s">
        <v>33</v>
      </c>
      <c r="F11" s="13">
        <v>15</v>
      </c>
      <c r="G11" s="28" t="s">
        <v>34</v>
      </c>
      <c r="H11" s="14" t="s">
        <v>35</v>
      </c>
      <c r="I11" s="13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0"/>
      <c r="B12" s="8">
        <v>2024</v>
      </c>
      <c r="C12" s="10" t="s">
        <v>24</v>
      </c>
      <c r="D12" s="11"/>
      <c r="E12" s="27"/>
      <c r="F12" s="13"/>
      <c r="G12" s="28"/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>
      <c r="A13" s="50"/>
      <c r="B13" s="8">
        <v>2024</v>
      </c>
      <c r="C13" s="10" t="s">
        <v>24</v>
      </c>
      <c r="D13" s="11"/>
      <c r="E13" s="27"/>
      <c r="F13" s="13"/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0"/>
      <c r="B14" s="8">
        <v>2024</v>
      </c>
      <c r="C14" s="10" t="s">
        <v>24</v>
      </c>
      <c r="D14" s="11"/>
      <c r="E14" s="12"/>
      <c r="F14" s="25"/>
      <c r="G14" s="13"/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45">
      <c r="A15" s="50"/>
      <c r="B15" s="8">
        <v>2024</v>
      </c>
      <c r="C15" s="10" t="s">
        <v>24</v>
      </c>
      <c r="D15" s="15" t="s">
        <v>0</v>
      </c>
      <c r="E15" s="12" t="s">
        <v>1</v>
      </c>
      <c r="F15" s="13"/>
      <c r="G15" s="13"/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50"/>
      <c r="B16" s="8">
        <v>2024</v>
      </c>
      <c r="C16" s="10" t="s">
        <v>24</v>
      </c>
      <c r="D16" s="11">
        <v>3295</v>
      </c>
      <c r="E16" s="16" t="s">
        <v>2</v>
      </c>
      <c r="F16" s="13"/>
      <c r="G16" s="13" t="s">
        <v>17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>
      <c r="A17" s="50"/>
      <c r="B17" s="8">
        <v>2024</v>
      </c>
      <c r="C17" s="10" t="s">
        <v>24</v>
      </c>
      <c r="D17" s="11">
        <v>34312</v>
      </c>
      <c r="E17" s="27" t="s">
        <v>25</v>
      </c>
      <c r="F17" s="13">
        <f>115.21+21.24</f>
        <v>136.44999999999999</v>
      </c>
      <c r="G17" s="13" t="s">
        <v>26</v>
      </c>
      <c r="H17" s="14" t="s">
        <v>27</v>
      </c>
      <c r="I17" s="13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0"/>
      <c r="B18" s="8">
        <v>2024</v>
      </c>
      <c r="C18" s="10" t="s">
        <v>24</v>
      </c>
      <c r="D18" s="11">
        <v>1291</v>
      </c>
      <c r="E18" s="17" t="s">
        <v>9</v>
      </c>
      <c r="F18" s="13"/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50"/>
      <c r="B19" s="8">
        <v>2024</v>
      </c>
      <c r="C19" s="10" t="s">
        <v>24</v>
      </c>
      <c r="D19" s="11">
        <v>2392</v>
      </c>
      <c r="E19" s="18" t="s">
        <v>19</v>
      </c>
      <c r="F19" s="13"/>
      <c r="G19" s="13" t="s">
        <v>17</v>
      </c>
      <c r="H19" s="14"/>
      <c r="I19" s="9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>
      <c r="F23" s="24"/>
    </row>
    <row r="25" spans="1:17">
      <c r="F25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8C78-159D-4C92-9DB0-ACD62158C275}">
  <dimension ref="A1:S24"/>
  <sheetViews>
    <sheetView workbookViewId="0">
      <selection activeCell="E11" sqref="E11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115</v>
      </c>
    </row>
    <row r="3" spans="1:19" ht="36" customHeight="1">
      <c r="A3" s="45" t="s">
        <v>10</v>
      </c>
      <c r="B3" s="46" t="s">
        <v>21</v>
      </c>
      <c r="C3" s="46" t="s">
        <v>22</v>
      </c>
      <c r="D3" s="45" t="s">
        <v>16</v>
      </c>
      <c r="E3" s="47"/>
      <c r="F3" s="48" t="s">
        <v>12</v>
      </c>
      <c r="G3" s="47" t="s">
        <v>13</v>
      </c>
      <c r="H3" s="49" t="s">
        <v>14</v>
      </c>
      <c r="I3" s="48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2024</v>
      </c>
      <c r="C4" s="10" t="s">
        <v>116</v>
      </c>
      <c r="D4" s="11">
        <v>3111</v>
      </c>
      <c r="E4" s="12" t="s">
        <v>3</v>
      </c>
      <c r="F4" s="13">
        <f>163383.64</f>
        <v>163383.64000000001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2024</v>
      </c>
      <c r="C5" s="10" t="s">
        <v>116</v>
      </c>
      <c r="D5" s="11">
        <v>3113</v>
      </c>
      <c r="E5" s="12" t="s">
        <v>4</v>
      </c>
      <c r="F5" s="13">
        <f>1360.29</f>
        <v>1360.29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2024</v>
      </c>
      <c r="C6" s="10" t="s">
        <v>116</v>
      </c>
      <c r="D6" s="11">
        <v>3121</v>
      </c>
      <c r="E6" s="12" t="s">
        <v>7</v>
      </c>
      <c r="F6" s="13">
        <f>4060+70+9383.06+61280.27+594.38</f>
        <v>75387.710000000006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8"/>
      <c r="B7" s="8">
        <v>2024</v>
      </c>
      <c r="C7" s="10" t="s">
        <v>116</v>
      </c>
      <c r="D7" s="11">
        <v>3239</v>
      </c>
      <c r="E7" s="12" t="s">
        <v>38</v>
      </c>
      <c r="F7" s="13">
        <f>21.24</f>
        <v>21.24</v>
      </c>
      <c r="G7" s="28" t="s">
        <v>122</v>
      </c>
      <c r="H7" s="14"/>
      <c r="I7" s="13" t="s">
        <v>123</v>
      </c>
      <c r="J7" s="4"/>
      <c r="K7" s="4"/>
      <c r="L7" s="4"/>
      <c r="M7" s="4"/>
      <c r="N7" s="4"/>
      <c r="O7" s="4"/>
      <c r="P7" s="4"/>
      <c r="Q7" s="4"/>
    </row>
    <row r="8" spans="1:19" s="1" customFormat="1" ht="30">
      <c r="A8" s="58"/>
      <c r="B8" s="8">
        <v>2024</v>
      </c>
      <c r="C8" s="10" t="s">
        <v>116</v>
      </c>
      <c r="D8" s="11">
        <v>3132</v>
      </c>
      <c r="E8" s="12" t="s">
        <v>6</v>
      </c>
      <c r="F8" s="13">
        <f>26579.14</f>
        <v>26579.14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>
      <c r="A9" s="58"/>
      <c r="B9" s="8">
        <v>2024</v>
      </c>
      <c r="C9" s="10" t="s">
        <v>116</v>
      </c>
      <c r="D9" s="11">
        <v>3211</v>
      </c>
      <c r="E9" s="12" t="s">
        <v>8</v>
      </c>
      <c r="F9" s="13">
        <f>65+31.7+51+25+80+30+15+40+80+21+161.25+30+15</f>
        <v>644.95000000000005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8"/>
      <c r="B10" s="8">
        <v>2024</v>
      </c>
      <c r="C10" s="10" t="s">
        <v>116</v>
      </c>
      <c r="D10" s="11">
        <v>3212</v>
      </c>
      <c r="E10" s="12" t="s">
        <v>5</v>
      </c>
      <c r="F10" s="13">
        <f>3448.82</f>
        <v>3448.82</v>
      </c>
      <c r="G10" s="13"/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>
      <c r="A11" s="58"/>
      <c r="B11" s="8">
        <v>2024</v>
      </c>
      <c r="C11" s="10" t="s">
        <v>116</v>
      </c>
      <c r="D11" s="11">
        <v>3221</v>
      </c>
      <c r="E11" s="12" t="s">
        <v>120</v>
      </c>
      <c r="F11" s="13">
        <f>24</f>
        <v>24</v>
      </c>
      <c r="G11" s="13" t="s">
        <v>121</v>
      </c>
      <c r="H11" s="14" t="s">
        <v>128</v>
      </c>
      <c r="I11" s="13" t="s">
        <v>129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25.5">
      <c r="A12" s="58"/>
      <c r="B12" s="8">
        <v>2024</v>
      </c>
      <c r="C12" s="10" t="s">
        <v>116</v>
      </c>
      <c r="D12" s="11">
        <v>3224</v>
      </c>
      <c r="E12" s="27" t="s">
        <v>117</v>
      </c>
      <c r="F12" s="13">
        <v>5.8</v>
      </c>
      <c r="G12" s="28" t="s">
        <v>118</v>
      </c>
      <c r="H12" s="14" t="s">
        <v>124</v>
      </c>
      <c r="I12" s="13" t="s">
        <v>125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58"/>
      <c r="B13" s="8">
        <v>2024</v>
      </c>
      <c r="C13" s="10" t="s">
        <v>116</v>
      </c>
      <c r="D13" s="11">
        <v>3224</v>
      </c>
      <c r="E13" s="27" t="s">
        <v>117</v>
      </c>
      <c r="F13" s="13">
        <f>68.93</f>
        <v>68.930000000000007</v>
      </c>
      <c r="G13" s="28" t="s">
        <v>119</v>
      </c>
      <c r="H13" s="14" t="s">
        <v>126</v>
      </c>
      <c r="I13" s="13" t="s">
        <v>127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45">
      <c r="A14" s="58"/>
      <c r="B14" s="8">
        <v>2024</v>
      </c>
      <c r="C14" s="10" t="s">
        <v>116</v>
      </c>
      <c r="D14" s="15" t="s">
        <v>0</v>
      </c>
      <c r="E14" s="12" t="s">
        <v>1</v>
      </c>
      <c r="F14" s="13">
        <v>3226.09</v>
      </c>
      <c r="G14" s="13"/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58"/>
      <c r="B15" s="8">
        <v>2024</v>
      </c>
      <c r="C15" s="10" t="s">
        <v>116</v>
      </c>
      <c r="D15" s="11">
        <v>3295</v>
      </c>
      <c r="E15" s="12" t="s">
        <v>2</v>
      </c>
      <c r="F15" s="13">
        <f>336</f>
        <v>336</v>
      </c>
      <c r="G15" s="13" t="s">
        <v>17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58"/>
      <c r="B16" s="8">
        <v>2024</v>
      </c>
      <c r="C16" s="10" t="s">
        <v>116</v>
      </c>
      <c r="D16" s="11">
        <v>3431</v>
      </c>
      <c r="E16" s="27" t="s">
        <v>48</v>
      </c>
      <c r="F16" s="13">
        <f>22+8.3</f>
        <v>30.3</v>
      </c>
      <c r="G16" s="13" t="s">
        <v>53</v>
      </c>
      <c r="H16" s="14" t="s">
        <v>54</v>
      </c>
      <c r="I16" s="13" t="s">
        <v>55</v>
      </c>
      <c r="J16" s="4"/>
      <c r="K16" s="4"/>
      <c r="L16" s="4"/>
      <c r="M16" s="4"/>
      <c r="N16" s="4"/>
      <c r="O16" s="4"/>
      <c r="P16" s="4"/>
      <c r="Q16" s="4"/>
    </row>
    <row r="17" spans="1:19" s="1" customFormat="1" ht="30">
      <c r="A17" s="58"/>
      <c r="B17" s="8">
        <v>2024</v>
      </c>
      <c r="C17" s="10" t="s">
        <v>116</v>
      </c>
      <c r="D17" s="11">
        <v>1291</v>
      </c>
      <c r="E17" s="17" t="s">
        <v>9</v>
      </c>
      <c r="F17" s="13">
        <f>80.73</f>
        <v>80.73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9" s="1" customFormat="1" ht="25.5">
      <c r="A18" s="58"/>
      <c r="B18" s="8">
        <v>2024</v>
      </c>
      <c r="C18" s="10" t="s">
        <v>116</v>
      </c>
      <c r="D18" s="11">
        <v>3431</v>
      </c>
      <c r="E18" s="27" t="s">
        <v>48</v>
      </c>
      <c r="F18" s="13">
        <f>49.54+44.17+136.54+13.91</f>
        <v>244.16</v>
      </c>
      <c r="G18" s="13" t="s">
        <v>26</v>
      </c>
      <c r="H18" s="14" t="s">
        <v>27</v>
      </c>
      <c r="I18" s="13" t="s">
        <v>28</v>
      </c>
      <c r="J18" s="4"/>
      <c r="K18" s="4"/>
      <c r="L18" s="4"/>
      <c r="M18" s="4"/>
      <c r="N18" s="4"/>
      <c r="O18" s="4"/>
      <c r="P18" s="4"/>
      <c r="Q18" s="4"/>
    </row>
    <row r="19" spans="1:19" s="1" customFormat="1" ht="23.25" customHeight="1">
      <c r="A19" s="59"/>
      <c r="B19" s="8">
        <v>2024</v>
      </c>
      <c r="C19" s="10" t="s">
        <v>116</v>
      </c>
      <c r="D19" s="11">
        <v>2392</v>
      </c>
      <c r="E19" s="18" t="s">
        <v>19</v>
      </c>
      <c r="F19" s="13">
        <f>284010.6</f>
        <v>284010.59999999998</v>
      </c>
      <c r="G19" s="13" t="s">
        <v>17</v>
      </c>
      <c r="H19" s="14"/>
      <c r="I19" s="9"/>
      <c r="J19" s="4"/>
      <c r="K19" s="4"/>
      <c r="L19" s="4"/>
      <c r="M19" s="4"/>
      <c r="N19" s="4"/>
      <c r="O19" s="4"/>
      <c r="P19" s="4"/>
      <c r="Q19" s="4"/>
    </row>
    <row r="20" spans="1:19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9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9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9" s="1" customFormat="1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  <c r="R24"/>
      <c r="S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7C2D3-5B75-40EF-BFB7-A2098B1B2053}">
  <dimension ref="A1:S21"/>
  <sheetViews>
    <sheetView tabSelected="1" workbookViewId="0">
      <selection activeCell="G21" sqref="G21"/>
    </sheetView>
  </sheetViews>
  <sheetFormatPr defaultRowHeight="15"/>
  <cols>
    <col min="1" max="1" width="20.75" style="60" customWidth="1"/>
    <col min="2" max="2" width="11.75" style="60" customWidth="1"/>
    <col min="3" max="3" width="8.875" style="61" customWidth="1"/>
    <col min="4" max="4" width="14.125" style="62" customWidth="1"/>
    <col min="5" max="5" width="24.875" style="63" customWidth="1"/>
    <col min="6" max="6" width="16.25" style="64" bestFit="1" customWidth="1"/>
    <col min="7" max="7" width="32.75" style="63" customWidth="1"/>
    <col min="8" max="8" width="16.75" style="63" customWidth="1"/>
    <col min="9" max="9" width="38" style="63" bestFit="1" customWidth="1"/>
    <col min="10" max="10" width="9" style="63"/>
    <col min="11" max="11" width="10.125" style="63" bestFit="1" customWidth="1"/>
    <col min="12" max="15" width="9" style="63"/>
    <col min="16" max="17" width="9" style="65"/>
    <col min="18" max="16384" width="9" style="66"/>
  </cols>
  <sheetData>
    <row r="1" spans="1:19">
      <c r="A1" s="60" t="s">
        <v>130</v>
      </c>
    </row>
    <row r="3" spans="1:19" ht="36" customHeight="1">
      <c r="A3" s="67" t="s">
        <v>10</v>
      </c>
      <c r="B3" s="68" t="s">
        <v>21</v>
      </c>
      <c r="C3" s="68" t="s">
        <v>22</v>
      </c>
      <c r="D3" s="67" t="s">
        <v>16</v>
      </c>
      <c r="E3" s="69"/>
      <c r="F3" s="70" t="s">
        <v>12</v>
      </c>
      <c r="G3" s="69" t="s">
        <v>13</v>
      </c>
      <c r="H3" s="71" t="s">
        <v>14</v>
      </c>
      <c r="I3" s="70" t="s">
        <v>15</v>
      </c>
      <c r="P3" s="63"/>
      <c r="Q3" s="63"/>
      <c r="R3" s="65"/>
      <c r="S3" s="65"/>
    </row>
    <row r="4" spans="1:19" s="65" customFormat="1" ht="14.45" customHeight="1">
      <c r="A4" s="72" t="s">
        <v>11</v>
      </c>
      <c r="B4" s="73">
        <v>2025</v>
      </c>
      <c r="C4" s="74" t="s">
        <v>131</v>
      </c>
      <c r="D4" s="75">
        <v>3111</v>
      </c>
      <c r="E4" s="76" t="s">
        <v>3</v>
      </c>
      <c r="F4" s="77">
        <f>165852.11</f>
        <v>165852.10999999999</v>
      </c>
      <c r="G4" s="77"/>
      <c r="H4" s="78"/>
      <c r="I4" s="77"/>
      <c r="J4" s="63"/>
      <c r="K4" s="63"/>
      <c r="L4" s="63"/>
      <c r="M4" s="63"/>
      <c r="N4" s="63"/>
      <c r="O4" s="63"/>
      <c r="P4" s="63"/>
      <c r="Q4" s="63"/>
    </row>
    <row r="5" spans="1:19" s="65" customFormat="1">
      <c r="A5" s="79"/>
      <c r="B5" s="73">
        <v>2025</v>
      </c>
      <c r="C5" s="74" t="s">
        <v>131</v>
      </c>
      <c r="D5" s="75">
        <v>3113</v>
      </c>
      <c r="E5" s="76" t="s">
        <v>4</v>
      </c>
      <c r="F5" s="77">
        <f>1194.61</f>
        <v>1194.6099999999999</v>
      </c>
      <c r="G5" s="77"/>
      <c r="H5" s="78"/>
      <c r="I5" s="77"/>
      <c r="J5" s="63"/>
      <c r="K5" s="63"/>
      <c r="L5" s="63"/>
      <c r="M5" s="63"/>
      <c r="N5" s="63"/>
      <c r="O5" s="63"/>
      <c r="P5" s="63"/>
      <c r="Q5" s="63"/>
    </row>
    <row r="6" spans="1:19" s="65" customFormat="1">
      <c r="A6" s="79"/>
      <c r="B6" s="73">
        <v>2025</v>
      </c>
      <c r="C6" s="74" t="s">
        <v>131</v>
      </c>
      <c r="D6" s="75">
        <v>3121</v>
      </c>
      <c r="E6" s="76" t="s">
        <v>7</v>
      </c>
      <c r="F6" s="77">
        <f>59.5+616</f>
        <v>675.5</v>
      </c>
      <c r="G6" s="77"/>
      <c r="H6" s="78"/>
      <c r="I6" s="77"/>
      <c r="J6" s="63"/>
      <c r="K6" s="63"/>
      <c r="L6" s="63"/>
      <c r="M6" s="63"/>
      <c r="N6" s="63"/>
      <c r="O6" s="63"/>
      <c r="P6" s="63"/>
      <c r="Q6" s="63"/>
    </row>
    <row r="7" spans="1:19" s="65" customFormat="1">
      <c r="A7" s="79"/>
      <c r="B7" s="73">
        <v>2025</v>
      </c>
      <c r="C7" s="74" t="s">
        <v>131</v>
      </c>
      <c r="D7" s="75">
        <v>3237</v>
      </c>
      <c r="E7" s="76" t="s">
        <v>56</v>
      </c>
      <c r="F7" s="77">
        <f>2239.58</f>
        <v>2239.58</v>
      </c>
      <c r="G7" s="77"/>
      <c r="H7" s="78"/>
      <c r="I7" s="77"/>
      <c r="J7" s="63"/>
      <c r="K7" s="63"/>
      <c r="L7" s="63"/>
      <c r="M7" s="63"/>
      <c r="N7" s="63"/>
      <c r="O7" s="63"/>
      <c r="P7" s="63"/>
      <c r="Q7" s="63"/>
    </row>
    <row r="8" spans="1:19" s="65" customFormat="1" ht="30">
      <c r="A8" s="79"/>
      <c r="B8" s="73">
        <v>2025</v>
      </c>
      <c r="C8" s="74" t="s">
        <v>131</v>
      </c>
      <c r="D8" s="75">
        <v>3132</v>
      </c>
      <c r="E8" s="76" t="s">
        <v>6</v>
      </c>
      <c r="F8" s="77">
        <f>26931.36</f>
        <v>26931.360000000001</v>
      </c>
      <c r="G8" s="77"/>
      <c r="H8" s="78"/>
      <c r="I8" s="77"/>
      <c r="J8" s="63"/>
      <c r="K8" s="63"/>
      <c r="L8" s="63"/>
      <c r="M8" s="63"/>
      <c r="N8" s="63"/>
      <c r="O8" s="63"/>
      <c r="P8" s="63"/>
      <c r="Q8" s="63"/>
    </row>
    <row r="9" spans="1:19" s="65" customFormat="1">
      <c r="A9" s="79"/>
      <c r="B9" s="73">
        <v>2025</v>
      </c>
      <c r="C9" s="74" t="s">
        <v>131</v>
      </c>
      <c r="D9" s="75">
        <v>3211</v>
      </c>
      <c r="E9" s="76" t="s">
        <v>8</v>
      </c>
      <c r="F9" s="77">
        <f>369+405.2+80+15+15+15</f>
        <v>899.2</v>
      </c>
      <c r="G9" s="77"/>
      <c r="H9" s="78"/>
      <c r="I9" s="77"/>
      <c r="J9" s="63"/>
      <c r="K9" s="63"/>
      <c r="L9" s="63"/>
      <c r="M9" s="63"/>
      <c r="N9" s="63"/>
      <c r="O9" s="63"/>
      <c r="P9" s="63"/>
      <c r="Q9" s="63"/>
    </row>
    <row r="10" spans="1:19" s="65" customFormat="1" ht="30">
      <c r="A10" s="79"/>
      <c r="B10" s="73">
        <v>2025</v>
      </c>
      <c r="C10" s="74" t="s">
        <v>131</v>
      </c>
      <c r="D10" s="75">
        <v>3212</v>
      </c>
      <c r="E10" s="76" t="s">
        <v>5</v>
      </c>
      <c r="F10" s="77">
        <f>3544.46</f>
        <v>3544.46</v>
      </c>
      <c r="G10" s="77"/>
      <c r="H10" s="78"/>
      <c r="I10" s="77"/>
      <c r="J10" s="63"/>
      <c r="K10" s="63"/>
      <c r="L10" s="63"/>
      <c r="M10" s="63"/>
      <c r="N10" s="63"/>
      <c r="O10" s="63"/>
      <c r="P10" s="63"/>
      <c r="Q10" s="63"/>
    </row>
    <row r="11" spans="1:19" s="65" customFormat="1" ht="45">
      <c r="A11" s="79"/>
      <c r="B11" s="73">
        <v>2025</v>
      </c>
      <c r="C11" s="74" t="s">
        <v>131</v>
      </c>
      <c r="D11" s="80" t="s">
        <v>0</v>
      </c>
      <c r="E11" s="76" t="s">
        <v>1</v>
      </c>
      <c r="F11" s="77">
        <v>3226.09</v>
      </c>
      <c r="G11" s="77"/>
      <c r="H11" s="78"/>
      <c r="I11" s="77"/>
      <c r="J11" s="63"/>
      <c r="K11" s="63"/>
      <c r="L11" s="63"/>
      <c r="M11" s="63"/>
      <c r="N11" s="63"/>
      <c r="O11" s="63"/>
      <c r="P11" s="63"/>
      <c r="Q11" s="63"/>
    </row>
    <row r="12" spans="1:19" s="65" customFormat="1">
      <c r="A12" s="79"/>
      <c r="B12" s="73">
        <v>2025</v>
      </c>
      <c r="C12" s="74" t="s">
        <v>131</v>
      </c>
      <c r="D12" s="75">
        <v>3295</v>
      </c>
      <c r="E12" s="76" t="s">
        <v>2</v>
      </c>
      <c r="F12" s="77">
        <f>336</f>
        <v>336</v>
      </c>
      <c r="G12" s="77" t="s">
        <v>17</v>
      </c>
      <c r="H12" s="78"/>
      <c r="I12" s="77"/>
      <c r="J12" s="63"/>
      <c r="K12" s="63"/>
      <c r="L12" s="63"/>
      <c r="M12" s="63"/>
      <c r="N12" s="63"/>
      <c r="O12" s="63"/>
      <c r="P12" s="63"/>
      <c r="Q12" s="63"/>
    </row>
    <row r="13" spans="1:19" s="65" customFormat="1" ht="25.5">
      <c r="A13" s="79"/>
      <c r="B13" s="73">
        <v>2025</v>
      </c>
      <c r="C13" s="74" t="s">
        <v>131</v>
      </c>
      <c r="D13" s="75">
        <v>3431</v>
      </c>
      <c r="E13" s="81" t="s">
        <v>48</v>
      </c>
      <c r="F13" s="77">
        <f>22+8.3</f>
        <v>30.3</v>
      </c>
      <c r="G13" s="77" t="s">
        <v>53</v>
      </c>
      <c r="H13" s="78" t="s">
        <v>54</v>
      </c>
      <c r="I13" s="77" t="s">
        <v>55</v>
      </c>
      <c r="J13" s="63"/>
      <c r="K13" s="63"/>
      <c r="L13" s="63"/>
      <c r="M13" s="63"/>
      <c r="N13" s="63"/>
      <c r="O13" s="63"/>
      <c r="P13" s="63"/>
      <c r="Q13" s="63"/>
    </row>
    <row r="14" spans="1:19" s="65" customFormat="1" ht="30">
      <c r="A14" s="79"/>
      <c r="B14" s="73">
        <v>2025</v>
      </c>
      <c r="C14" s="74" t="s">
        <v>131</v>
      </c>
      <c r="D14" s="75">
        <v>1291</v>
      </c>
      <c r="E14" s="82" t="s">
        <v>9</v>
      </c>
      <c r="F14" s="77">
        <f>77.05+16.05</f>
        <v>93.1</v>
      </c>
      <c r="G14" s="77" t="s">
        <v>18</v>
      </c>
      <c r="H14" s="78"/>
      <c r="I14" s="83" t="s">
        <v>20</v>
      </c>
      <c r="J14" s="63"/>
      <c r="K14" s="63"/>
      <c r="L14" s="63"/>
      <c r="M14" s="63"/>
      <c r="N14" s="63"/>
      <c r="O14" s="63"/>
      <c r="P14" s="63"/>
      <c r="Q14" s="63"/>
    </row>
    <row r="15" spans="1:19" s="65" customFormat="1" ht="25.5">
      <c r="A15" s="79"/>
      <c r="B15" s="73">
        <v>2025</v>
      </c>
      <c r="C15" s="74" t="s">
        <v>131</v>
      </c>
      <c r="D15" s="75">
        <v>3431</v>
      </c>
      <c r="E15" s="81" t="s">
        <v>48</v>
      </c>
      <c r="F15" s="77">
        <f>33.26+1.39+18.98+127.48+48.11</f>
        <v>229.22000000000003</v>
      </c>
      <c r="G15" s="77" t="s">
        <v>26</v>
      </c>
      <c r="H15" s="78" t="s">
        <v>27</v>
      </c>
      <c r="I15" s="77" t="s">
        <v>28</v>
      </c>
      <c r="J15" s="63"/>
      <c r="K15" s="63"/>
      <c r="L15" s="63"/>
      <c r="M15" s="63"/>
      <c r="N15" s="63"/>
      <c r="O15" s="63"/>
      <c r="P15" s="63"/>
      <c r="Q15" s="63"/>
    </row>
    <row r="16" spans="1:19" s="65" customFormat="1" ht="23.25" customHeight="1">
      <c r="A16" s="84"/>
      <c r="B16" s="73">
        <v>2025</v>
      </c>
      <c r="C16" s="74" t="s">
        <v>131</v>
      </c>
      <c r="D16" s="75">
        <v>2392</v>
      </c>
      <c r="E16" s="85" t="s">
        <v>19</v>
      </c>
      <c r="F16" s="77">
        <f>289663.31</f>
        <v>289663.31</v>
      </c>
      <c r="G16" s="77" t="s">
        <v>17</v>
      </c>
      <c r="H16" s="78"/>
      <c r="I16" s="86"/>
      <c r="J16" s="63"/>
      <c r="K16" s="63"/>
      <c r="L16" s="63"/>
      <c r="M16" s="63"/>
      <c r="N16" s="63"/>
      <c r="O16" s="63"/>
      <c r="P16" s="63"/>
      <c r="Q16" s="63"/>
    </row>
    <row r="17" spans="1:19" s="65" customFormat="1">
      <c r="A17" s="60"/>
      <c r="B17" s="87"/>
      <c r="C17" s="61"/>
      <c r="D17" s="62"/>
      <c r="E17" s="63"/>
      <c r="F17" s="64"/>
      <c r="G17" s="63"/>
      <c r="H17" s="63"/>
      <c r="I17" s="63"/>
      <c r="J17" s="63"/>
      <c r="K17" s="63"/>
      <c r="L17" s="63"/>
      <c r="M17" s="63"/>
      <c r="N17" s="63"/>
      <c r="O17" s="63"/>
    </row>
    <row r="18" spans="1:19" s="65" customFormat="1">
      <c r="A18" s="60"/>
      <c r="B18" s="60"/>
      <c r="C18" s="61"/>
      <c r="D18" s="62"/>
      <c r="E18" s="63"/>
      <c r="F18" s="64"/>
      <c r="G18" s="63"/>
      <c r="H18" s="63"/>
      <c r="I18" s="63"/>
      <c r="J18" s="63"/>
      <c r="K18" s="63"/>
      <c r="L18" s="63"/>
      <c r="M18" s="63"/>
      <c r="N18" s="63"/>
      <c r="O18" s="63"/>
    </row>
    <row r="19" spans="1:19" s="65" customFormat="1">
      <c r="A19" s="60"/>
      <c r="B19" s="60"/>
      <c r="C19" s="61"/>
      <c r="D19" s="62"/>
      <c r="E19" s="63"/>
      <c r="F19" s="88"/>
      <c r="G19" s="63"/>
      <c r="H19" s="63"/>
      <c r="I19" s="63"/>
      <c r="J19" s="63"/>
      <c r="K19" s="63"/>
      <c r="L19" s="63"/>
      <c r="M19" s="63"/>
      <c r="N19" s="63"/>
      <c r="O19" s="63"/>
    </row>
    <row r="21" spans="1:19" s="65" customFormat="1">
      <c r="A21" s="60"/>
      <c r="B21" s="60"/>
      <c r="C21" s="61"/>
      <c r="D21" s="62"/>
      <c r="E21" s="63"/>
      <c r="F21" s="88"/>
      <c r="G21" s="63"/>
      <c r="H21" s="63"/>
      <c r="I21" s="63"/>
      <c r="J21" s="63"/>
      <c r="K21" s="63"/>
      <c r="L21" s="63"/>
      <c r="M21" s="63"/>
      <c r="N21" s="63"/>
      <c r="O21" s="63"/>
      <c r="R21" s="66"/>
      <c r="S21" s="66"/>
    </row>
  </sheetData>
  <mergeCells count="1">
    <mergeCell ref="A4:A16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36732-B8F0-48A5-B6A5-D485C3F527B7}">
  <dimension ref="A1:S26"/>
  <sheetViews>
    <sheetView workbookViewId="0">
      <selection activeCell="B18" sqref="A18:XFD18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37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>
      <c r="A4" s="51" t="s">
        <v>11</v>
      </c>
      <c r="B4" s="8">
        <v>2024</v>
      </c>
      <c r="C4" s="10" t="s">
        <v>24</v>
      </c>
      <c r="D4" s="29">
        <v>3111</v>
      </c>
      <c r="E4" s="30" t="s">
        <v>3</v>
      </c>
      <c r="F4" s="13">
        <f>159363.54+94.08+63.77</f>
        <v>159521.38999999998</v>
      </c>
      <c r="G4" s="31"/>
      <c r="H4" s="32"/>
      <c r="I4" s="31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24</v>
      </c>
      <c r="D5" s="29">
        <v>3113</v>
      </c>
      <c r="E5" s="30" t="s">
        <v>4</v>
      </c>
      <c r="F5" s="13">
        <v>1711.92</v>
      </c>
      <c r="G5" s="31"/>
      <c r="H5" s="32"/>
      <c r="I5" s="31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24</v>
      </c>
      <c r="D6" s="29">
        <v>3121</v>
      </c>
      <c r="E6" s="30" t="s">
        <v>7</v>
      </c>
      <c r="F6" s="13">
        <f>140+336</f>
        <v>476</v>
      </c>
      <c r="G6" s="31"/>
      <c r="H6" s="32"/>
      <c r="I6" s="31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24</v>
      </c>
      <c r="D7" s="29">
        <v>3132</v>
      </c>
      <c r="E7" s="30" t="s">
        <v>6</v>
      </c>
      <c r="F7" s="13">
        <f>15.52+25967.22</f>
        <v>25982.74</v>
      </c>
      <c r="G7" s="31"/>
      <c r="H7" s="32"/>
      <c r="I7" s="31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24</v>
      </c>
      <c r="D8" s="29">
        <v>3211</v>
      </c>
      <c r="E8" s="30" t="s">
        <v>8</v>
      </c>
      <c r="F8" s="13">
        <f>30+18.05+15+66.05+30+24.1+359.4+15+15+15+30+323.06+15+349.72</f>
        <v>1305.3799999999999</v>
      </c>
      <c r="G8" s="31"/>
      <c r="H8" s="32"/>
      <c r="I8" s="31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24</v>
      </c>
      <c r="D9" s="29">
        <v>3212</v>
      </c>
      <c r="E9" s="30" t="s">
        <v>5</v>
      </c>
      <c r="F9" s="13">
        <v>3815.37</v>
      </c>
      <c r="G9" s="31"/>
      <c r="H9" s="32"/>
      <c r="I9" s="31"/>
      <c r="J9" s="4"/>
      <c r="K9" s="4"/>
      <c r="L9" s="4"/>
      <c r="M9" s="4"/>
      <c r="N9" s="4"/>
      <c r="O9" s="4"/>
      <c r="P9" s="4"/>
      <c r="Q9" s="4"/>
    </row>
    <row r="10" spans="1:19" s="1" customFormat="1" ht="25.5">
      <c r="A10" s="52"/>
      <c r="B10" s="8"/>
      <c r="C10" s="10" t="s">
        <v>24</v>
      </c>
      <c r="D10" s="29">
        <v>3221</v>
      </c>
      <c r="E10" s="27" t="s">
        <v>47</v>
      </c>
      <c r="F10" s="13">
        <f>9.2</f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24</v>
      </c>
      <c r="D11" s="29">
        <v>3232</v>
      </c>
      <c r="E11" s="35" t="s">
        <v>33</v>
      </c>
      <c r="F11" s="13">
        <v>15</v>
      </c>
      <c r="G11" s="36" t="s">
        <v>34</v>
      </c>
      <c r="H11" s="32" t="s">
        <v>35</v>
      </c>
      <c r="I11" s="31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2"/>
      <c r="B12" s="8">
        <v>2024</v>
      </c>
      <c r="C12" s="10" t="s">
        <v>24</v>
      </c>
      <c r="D12" s="11">
        <v>3239</v>
      </c>
      <c r="E12" s="27" t="s">
        <v>38</v>
      </c>
      <c r="F12" s="13">
        <v>8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30">
      <c r="A13" s="52"/>
      <c r="B13" s="8">
        <v>2024</v>
      </c>
      <c r="C13" s="10" t="s">
        <v>24</v>
      </c>
      <c r="D13" s="11">
        <v>3239</v>
      </c>
      <c r="E13" s="27" t="s">
        <v>38</v>
      </c>
      <c r="F13" s="13">
        <f>25</f>
        <v>25</v>
      </c>
      <c r="G13" s="28" t="s">
        <v>43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45">
      <c r="A14" s="52"/>
      <c r="B14" s="8">
        <v>2024</v>
      </c>
      <c r="C14" s="10" t="s">
        <v>24</v>
      </c>
      <c r="D14" s="37" t="s">
        <v>0</v>
      </c>
      <c r="E14" s="30" t="s">
        <v>1</v>
      </c>
      <c r="F14" s="13">
        <f>3343.75</f>
        <v>3343.75</v>
      </c>
      <c r="G14" s="31"/>
      <c r="H14" s="32"/>
      <c r="I14" s="31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52"/>
      <c r="B15" s="8">
        <v>2024</v>
      </c>
      <c r="C15" s="10" t="s">
        <v>24</v>
      </c>
      <c r="D15" s="29">
        <v>3295</v>
      </c>
      <c r="E15" s="38" t="s">
        <v>2</v>
      </c>
      <c r="F15" s="13">
        <f>336</f>
        <v>336</v>
      </c>
      <c r="G15" s="31" t="s">
        <v>17</v>
      </c>
      <c r="H15" s="32"/>
      <c r="I15" s="31"/>
      <c r="J15" s="4"/>
      <c r="K15" s="4"/>
      <c r="L15" s="4"/>
      <c r="M15" s="4"/>
      <c r="N15" s="4"/>
      <c r="O15" s="4"/>
      <c r="P15" s="4"/>
      <c r="Q15" s="4"/>
    </row>
    <row r="16" spans="1:19" s="1" customFormat="1" ht="30">
      <c r="A16" s="52"/>
      <c r="B16" s="8">
        <v>2024</v>
      </c>
      <c r="C16" s="10" t="s">
        <v>45</v>
      </c>
      <c r="D16" s="29">
        <v>3295</v>
      </c>
      <c r="E16" s="38" t="s">
        <v>2</v>
      </c>
      <c r="F16" s="13">
        <v>6.32</v>
      </c>
      <c r="G16" s="36" t="s">
        <v>44</v>
      </c>
      <c r="H16" s="32"/>
      <c r="I16" s="31"/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52"/>
      <c r="B17" s="8">
        <v>2024</v>
      </c>
      <c r="C17" s="10" t="s">
        <v>24</v>
      </c>
      <c r="D17" s="29">
        <v>3431</v>
      </c>
      <c r="E17" s="27" t="s">
        <v>48</v>
      </c>
      <c r="F17" s="13">
        <f>82.04+52.89+1.52+40.7+131.11</f>
        <v>308.26000000000005</v>
      </c>
      <c r="G17" s="31" t="s">
        <v>26</v>
      </c>
      <c r="H17" s="32" t="s">
        <v>27</v>
      </c>
      <c r="I17" s="31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>
      <c r="A18" s="52"/>
      <c r="B18" s="8">
        <v>2024</v>
      </c>
      <c r="C18" s="10" t="s">
        <v>24</v>
      </c>
      <c r="D18" s="29">
        <v>3433</v>
      </c>
      <c r="E18" s="35" t="s">
        <v>46</v>
      </c>
      <c r="F18" s="13">
        <f>0.05+0.24</f>
        <v>0.28999999999999998</v>
      </c>
      <c r="G18" s="36" t="s">
        <v>42</v>
      </c>
      <c r="H18" s="32"/>
      <c r="I18" s="31"/>
      <c r="J18" s="4"/>
      <c r="K18" s="4"/>
      <c r="L18" s="4"/>
      <c r="M18" s="4"/>
      <c r="N18" s="4"/>
      <c r="O18" s="4"/>
      <c r="P18" s="4"/>
      <c r="Q18" s="4"/>
    </row>
    <row r="19" spans="1:17" s="1" customFormat="1" ht="30">
      <c r="A19" s="52"/>
      <c r="B19" s="8">
        <v>2024</v>
      </c>
      <c r="C19" s="10" t="s">
        <v>24</v>
      </c>
      <c r="D19" s="29">
        <v>1291</v>
      </c>
      <c r="E19" s="39" t="s">
        <v>9</v>
      </c>
      <c r="F19" s="13">
        <v>376.69</v>
      </c>
      <c r="G19" s="31" t="s">
        <v>18</v>
      </c>
      <c r="H19" s="32"/>
      <c r="I19" s="40" t="s">
        <v>20</v>
      </c>
      <c r="J19" s="4"/>
      <c r="K19" s="4"/>
      <c r="L19" s="4"/>
      <c r="M19" s="4"/>
      <c r="N19" s="4"/>
      <c r="O19" s="4"/>
      <c r="P19" s="4"/>
      <c r="Q19" s="4"/>
    </row>
    <row r="20" spans="1:17" s="1" customFormat="1" ht="25.5">
      <c r="A20" s="52"/>
      <c r="B20" s="8">
        <v>2024</v>
      </c>
      <c r="C20" s="10" t="s">
        <v>24</v>
      </c>
      <c r="D20" s="29">
        <v>2392</v>
      </c>
      <c r="E20" s="33" t="s">
        <v>19</v>
      </c>
      <c r="F20" s="31">
        <f>98756.7</f>
        <v>98756.7</v>
      </c>
      <c r="G20" s="31" t="s">
        <v>17</v>
      </c>
      <c r="H20" s="32"/>
      <c r="I20" s="34"/>
      <c r="J20" s="4"/>
      <c r="K20" s="4"/>
      <c r="L20" s="4"/>
      <c r="M20" s="4"/>
      <c r="N20" s="4"/>
      <c r="O20" s="4"/>
      <c r="P20" s="4"/>
      <c r="Q20" s="4"/>
    </row>
    <row r="21" spans="1:17" s="1" customFormat="1">
      <c r="A21" s="53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s="1" customFormat="1">
      <c r="A22" s="2"/>
      <c r="B22" s="5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 s="1" customFormat="1">
      <c r="A23" s="2"/>
      <c r="B23" s="2"/>
      <c r="C23" s="3"/>
      <c r="D23" s="7"/>
      <c r="E23" s="4"/>
      <c r="F23" s="6"/>
      <c r="G23" s="4"/>
      <c r="H23" s="4"/>
      <c r="I23" s="4"/>
      <c r="J23" s="4"/>
      <c r="K23" s="4"/>
      <c r="L23" s="4"/>
      <c r="M23" s="4"/>
      <c r="N23" s="4"/>
      <c r="O23" s="4"/>
    </row>
    <row r="24" spans="1:17" s="1" customFormat="1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</row>
    <row r="26" spans="1:17">
      <c r="F26" s="24"/>
    </row>
  </sheetData>
  <mergeCells count="1">
    <mergeCell ref="A4:A2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68B3E-FAA1-444D-B19E-65B10E375799}">
  <dimension ref="A1:S23"/>
  <sheetViews>
    <sheetView workbookViewId="0">
      <selection activeCell="B16" sqref="A16:XFD1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49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45</v>
      </c>
      <c r="D4" s="11">
        <v>3111</v>
      </c>
      <c r="E4" s="12" t="s">
        <v>3</v>
      </c>
      <c r="F4" s="13">
        <f>162556.91</f>
        <v>162556.91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45</v>
      </c>
      <c r="D5" s="11">
        <v>3113</v>
      </c>
      <c r="E5" s="12" t="s">
        <v>4</v>
      </c>
      <c r="F5" s="13">
        <v>2043.79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45</v>
      </c>
      <c r="D6" s="11">
        <v>3121</v>
      </c>
      <c r="E6" s="12" t="s">
        <v>7</v>
      </c>
      <c r="F6" s="13">
        <f>140</f>
        <v>140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45</v>
      </c>
      <c r="D7" s="11">
        <v>3132</v>
      </c>
      <c r="E7" s="12" t="s">
        <v>6</v>
      </c>
      <c r="F7" s="13">
        <v>26434.29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45</v>
      </c>
      <c r="D8" s="11">
        <v>3211</v>
      </c>
      <c r="E8" s="12" t="s">
        <v>8</v>
      </c>
      <c r="F8" s="13">
        <f>170+15+3.5+18.5+45+15+30+465.96+328.8+15+400+135</f>
        <v>1641.76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45</v>
      </c>
      <c r="D9" s="11">
        <v>3212</v>
      </c>
      <c r="E9" s="12" t="s">
        <v>5</v>
      </c>
      <c r="F9" s="13">
        <v>3411.14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>
      <c r="A10" s="52"/>
      <c r="B10" s="8">
        <v>2024</v>
      </c>
      <c r="C10" s="10" t="s">
        <v>45</v>
      </c>
      <c r="D10" s="11">
        <v>3233</v>
      </c>
      <c r="E10" s="27" t="s">
        <v>50</v>
      </c>
      <c r="F10" s="13">
        <f>19.95</f>
        <v>19.95</v>
      </c>
      <c r="G10" s="28" t="s">
        <v>51</v>
      </c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>
      <c r="A11" s="52"/>
      <c r="B11" s="8">
        <v>2024</v>
      </c>
      <c r="C11" s="10" t="s">
        <v>45</v>
      </c>
      <c r="D11" s="11">
        <v>3237</v>
      </c>
      <c r="E11" s="27" t="s">
        <v>56</v>
      </c>
      <c r="F11" s="13">
        <v>12.5</v>
      </c>
      <c r="G11" s="28" t="s">
        <v>52</v>
      </c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2"/>
      <c r="B12" s="8">
        <v>2024</v>
      </c>
      <c r="C12" s="10" t="s">
        <v>45</v>
      </c>
      <c r="D12" s="11">
        <v>3239</v>
      </c>
      <c r="E12" s="27" t="s">
        <v>38</v>
      </c>
      <c r="F12" s="13">
        <f>20</f>
        <v>20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52"/>
      <c r="B13" s="8">
        <v>2024</v>
      </c>
      <c r="C13" s="10" t="s">
        <v>45</v>
      </c>
      <c r="D13" s="15" t="s">
        <v>0</v>
      </c>
      <c r="E13" s="12" t="s">
        <v>1</v>
      </c>
      <c r="F13" s="13">
        <f>3238.35+1023.87</f>
        <v>4262.22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2"/>
      <c r="B14" s="8">
        <v>2024</v>
      </c>
      <c r="C14" s="10" t="s">
        <v>45</v>
      </c>
      <c r="D14" s="11">
        <v>3295</v>
      </c>
      <c r="E14" s="12" t="s">
        <v>2</v>
      </c>
      <c r="F14" s="13">
        <f>336</f>
        <v>336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25.5">
      <c r="A15" s="52"/>
      <c r="B15" s="8">
        <v>2024</v>
      </c>
      <c r="C15" s="10" t="s">
        <v>45</v>
      </c>
      <c r="D15" s="11">
        <v>3431</v>
      </c>
      <c r="E15" s="27" t="s">
        <v>48</v>
      </c>
      <c r="F15" s="13">
        <f>5.31+5.32+26.78+50.17+60.1</f>
        <v>147.68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52"/>
      <c r="B16" s="8">
        <v>2024</v>
      </c>
      <c r="C16" s="10" t="s">
        <v>45</v>
      </c>
      <c r="D16" s="11">
        <v>3431</v>
      </c>
      <c r="E16" s="27" t="s">
        <v>48</v>
      </c>
      <c r="F16" s="13">
        <f>22.65+8.3</f>
        <v>30.95</v>
      </c>
      <c r="G16" s="13" t="s">
        <v>53</v>
      </c>
      <c r="H16" s="14" t="s">
        <v>54</v>
      </c>
      <c r="I16" s="13" t="s">
        <v>55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30">
      <c r="A17" s="52"/>
      <c r="B17" s="8">
        <v>2024</v>
      </c>
      <c r="C17" s="10" t="s">
        <v>45</v>
      </c>
      <c r="D17" s="11">
        <v>1291</v>
      </c>
      <c r="E17" s="17" t="s">
        <v>9</v>
      </c>
      <c r="F17" s="13">
        <v>282.48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5.5">
      <c r="A18" s="53"/>
      <c r="B18" s="8">
        <v>2024</v>
      </c>
      <c r="C18" s="10" t="s">
        <v>45</v>
      </c>
      <c r="D18" s="29">
        <v>2392</v>
      </c>
      <c r="E18" s="33" t="s">
        <v>19</v>
      </c>
      <c r="F18" s="13">
        <f>72068.8+327.25</f>
        <v>72396.05</v>
      </c>
      <c r="G18" s="31" t="s">
        <v>17</v>
      </c>
      <c r="H18" s="32"/>
      <c r="I18" s="34"/>
      <c r="J18" s="4"/>
      <c r="K18" s="4"/>
      <c r="L18" s="4"/>
      <c r="M18" s="4"/>
      <c r="N18" s="4"/>
      <c r="O18" s="4"/>
      <c r="P18" s="4"/>
      <c r="Q18" s="4"/>
    </row>
    <row r="19" spans="1:17" s="1" customFormat="1">
      <c r="A19" s="2"/>
      <c r="B19" s="5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>
      <c r="A20" s="2"/>
      <c r="B20" s="2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</row>
    <row r="23" spans="1:17">
      <c r="F23" s="24"/>
    </row>
  </sheetData>
  <mergeCells count="1">
    <mergeCell ref="A4:A18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9182-9414-410B-B86F-19EB92A3183C}">
  <dimension ref="A1:S24"/>
  <sheetViews>
    <sheetView workbookViewId="0">
      <selection activeCell="F6" sqref="F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57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58</v>
      </c>
      <c r="D4" s="11">
        <v>3111</v>
      </c>
      <c r="E4" s="12" t="s">
        <v>3</v>
      </c>
      <c r="F4" s="13">
        <f>166076.3+1049.72</f>
        <v>167126.01999999999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58</v>
      </c>
      <c r="D5" s="11">
        <v>3113</v>
      </c>
      <c r="E5" s="12" t="s">
        <v>4</v>
      </c>
      <c r="F5" s="13">
        <f>2526.45</f>
        <v>2526.4499999999998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59</v>
      </c>
      <c r="D6" s="11">
        <v>3121</v>
      </c>
      <c r="E6" s="12" t="s">
        <v>7</v>
      </c>
      <c r="F6" s="13">
        <f>280+24300+140</f>
        <v>24720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58</v>
      </c>
      <c r="D7" s="11">
        <v>3132</v>
      </c>
      <c r="E7" s="12" t="s">
        <v>6</v>
      </c>
      <c r="F7" s="13">
        <f>27162.81+173.2</f>
        <v>27336.010000000002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58</v>
      </c>
      <c r="D8" s="11">
        <v>3211</v>
      </c>
      <c r="E8" s="12" t="s">
        <v>8</v>
      </c>
      <c r="F8" s="13">
        <f>30+30+30+199+165+165+0.72+100+100+180+165+172+165+100+100+180+15+80+80+116.06+360.35+30+30+30+240.99+30+689.88+553.1+240</f>
        <v>4377.1000000000004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58</v>
      </c>
      <c r="D9" s="11">
        <v>3212</v>
      </c>
      <c r="E9" s="12" t="s">
        <v>5</v>
      </c>
      <c r="F9" s="13">
        <f>3489.93</f>
        <v>3489.93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2"/>
      <c r="B10" s="8">
        <v>2024</v>
      </c>
      <c r="C10" s="10" t="s">
        <v>58</v>
      </c>
      <c r="D10" s="11">
        <v>3211</v>
      </c>
      <c r="E10" s="12" t="s">
        <v>47</v>
      </c>
      <c r="F10" s="13">
        <f>32.4</f>
        <v>32.4</v>
      </c>
      <c r="G10" s="13" t="s">
        <v>60</v>
      </c>
      <c r="H10" s="14" t="s">
        <v>61</v>
      </c>
      <c r="I10" s="13" t="s">
        <v>62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58</v>
      </c>
      <c r="D11" s="11">
        <v>3224</v>
      </c>
      <c r="E11" s="12" t="s">
        <v>66</v>
      </c>
      <c r="F11" s="13">
        <f>7.3</f>
        <v>7.3</v>
      </c>
      <c r="G11" s="13" t="s">
        <v>60</v>
      </c>
      <c r="H11" s="14" t="s">
        <v>61</v>
      </c>
      <c r="I11" s="13" t="s">
        <v>62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2"/>
      <c r="B12" s="8">
        <v>2024</v>
      </c>
      <c r="C12" s="10" t="s">
        <v>58</v>
      </c>
      <c r="D12" s="11">
        <v>3233</v>
      </c>
      <c r="E12" s="27" t="s">
        <v>50</v>
      </c>
      <c r="F12" s="13">
        <f>47.5</f>
        <v>47.5</v>
      </c>
      <c r="G12" s="28" t="s">
        <v>63</v>
      </c>
      <c r="H12" s="14" t="s">
        <v>64</v>
      </c>
      <c r="I12" s="13" t="s">
        <v>65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52"/>
      <c r="B13" s="8">
        <v>2024</v>
      </c>
      <c r="C13" s="10" t="s">
        <v>58</v>
      </c>
      <c r="D13" s="15" t="s">
        <v>0</v>
      </c>
      <c r="E13" s="12" t="s">
        <v>1</v>
      </c>
      <c r="F13" s="13">
        <f>3238.35+455.7</f>
        <v>3694.0499999999997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2"/>
      <c r="B14" s="8">
        <v>2024</v>
      </c>
      <c r="C14" s="10" t="s">
        <v>58</v>
      </c>
      <c r="D14" s="11">
        <v>3295</v>
      </c>
      <c r="E14" s="12" t="s">
        <v>2</v>
      </c>
      <c r="F14" s="13">
        <f>99+99+33+336</f>
        <v>567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52"/>
      <c r="B15" s="8">
        <v>2024</v>
      </c>
      <c r="C15" s="10" t="s">
        <v>58</v>
      </c>
      <c r="D15" s="11">
        <v>3433</v>
      </c>
      <c r="E15" s="12" t="s">
        <v>46</v>
      </c>
      <c r="F15" s="13">
        <v>9.49</v>
      </c>
      <c r="G15" s="13" t="s">
        <v>17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52"/>
      <c r="B16" s="8">
        <v>2024</v>
      </c>
      <c r="C16" s="10" t="s">
        <v>58</v>
      </c>
      <c r="D16" s="11">
        <v>3431</v>
      </c>
      <c r="E16" s="27" t="s">
        <v>48</v>
      </c>
      <c r="F16" s="13">
        <v>107.32</v>
      </c>
      <c r="G16" s="13" t="s">
        <v>26</v>
      </c>
      <c r="H16" s="14" t="s">
        <v>27</v>
      </c>
      <c r="I16" s="13" t="s">
        <v>28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52"/>
      <c r="B17" s="8">
        <v>2024</v>
      </c>
      <c r="C17" s="10" t="s">
        <v>58</v>
      </c>
      <c r="D17" s="11">
        <v>3431</v>
      </c>
      <c r="E17" s="27" t="s">
        <v>48</v>
      </c>
      <c r="F17" s="13">
        <v>38.26</v>
      </c>
      <c r="G17" s="13" t="s">
        <v>53</v>
      </c>
      <c r="H17" s="14" t="s">
        <v>54</v>
      </c>
      <c r="I17" s="13" t="s">
        <v>55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2"/>
      <c r="B18" s="8">
        <v>2024</v>
      </c>
      <c r="C18" s="10" t="s">
        <v>58</v>
      </c>
      <c r="D18" s="11">
        <v>1291</v>
      </c>
      <c r="E18" s="17" t="s">
        <v>9</v>
      </c>
      <c r="F18" s="13">
        <f>270.24</f>
        <v>270.24</v>
      </c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53"/>
      <c r="B19" s="8">
        <v>2024</v>
      </c>
      <c r="C19" s="10" t="s">
        <v>58</v>
      </c>
      <c r="D19" s="29">
        <v>2392</v>
      </c>
      <c r="E19" s="33" t="s">
        <v>19</v>
      </c>
      <c r="F19" s="13">
        <f>65390.93</f>
        <v>65390.93</v>
      </c>
      <c r="G19" s="31" t="s">
        <v>17</v>
      </c>
      <c r="H19" s="32"/>
      <c r="I19" s="34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7">
      <c r="F24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042F4-56B2-4647-B302-545124154196}">
  <dimension ref="A1:S28"/>
  <sheetViews>
    <sheetView topLeftCell="A7" workbookViewId="0">
      <selection activeCell="F6" sqref="F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67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68</v>
      </c>
      <c r="D4" s="11">
        <v>3111</v>
      </c>
      <c r="E4" s="12" t="s">
        <v>3</v>
      </c>
      <c r="F4" s="13">
        <f>161761.03</f>
        <v>161761.03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68</v>
      </c>
      <c r="D5" s="11">
        <v>3113</v>
      </c>
      <c r="E5" s="12" t="s">
        <v>4</v>
      </c>
      <c r="F5" s="13">
        <f>3208.76</f>
        <v>3208.76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68</v>
      </c>
      <c r="D6" s="11">
        <v>3121</v>
      </c>
      <c r="E6" s="12" t="s">
        <v>7</v>
      </c>
      <c r="F6" s="13">
        <f>840+70</f>
        <v>910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68</v>
      </c>
      <c r="D7" s="11">
        <v>3132</v>
      </c>
      <c r="E7" s="12" t="s">
        <v>6</v>
      </c>
      <c r="F7" s="13">
        <f>26527.59</f>
        <v>26527.59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68</v>
      </c>
      <c r="D8" s="11">
        <v>3211</v>
      </c>
      <c r="E8" s="12" t="s">
        <v>8</v>
      </c>
      <c r="F8" s="13">
        <f>85+15+171.49+20.49+426.3+15+53.3+21.2+160+15+15</f>
        <v>997.78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68</v>
      </c>
      <c r="D9" s="11">
        <v>3212</v>
      </c>
      <c r="E9" s="12" t="s">
        <v>5</v>
      </c>
      <c r="F9" s="13">
        <f>2962.87</f>
        <v>2962.87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2"/>
      <c r="B10" s="8">
        <v>2024</v>
      </c>
      <c r="C10" s="10" t="s">
        <v>68</v>
      </c>
      <c r="D10" s="11">
        <v>3211</v>
      </c>
      <c r="E10" s="12" t="s">
        <v>72</v>
      </c>
      <c r="F10" s="13">
        <f>3.5</f>
        <v>3.5</v>
      </c>
      <c r="G10" s="13" t="s">
        <v>69</v>
      </c>
      <c r="H10" s="14" t="s">
        <v>70</v>
      </c>
      <c r="I10" s="13" t="s">
        <v>71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68</v>
      </c>
      <c r="D11" s="11">
        <v>3221</v>
      </c>
      <c r="E11" s="12" t="s">
        <v>80</v>
      </c>
      <c r="F11" s="13">
        <f>5.59</f>
        <v>5.59</v>
      </c>
      <c r="G11" s="13" t="s">
        <v>81</v>
      </c>
      <c r="H11" s="14" t="s">
        <v>82</v>
      </c>
      <c r="I11" s="13" t="s">
        <v>83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>
      <c r="A12" s="52"/>
      <c r="B12" s="8">
        <v>2024</v>
      </c>
      <c r="C12" s="10" t="s">
        <v>68</v>
      </c>
      <c r="D12" s="11">
        <v>3224</v>
      </c>
      <c r="E12" s="12" t="s">
        <v>66</v>
      </c>
      <c r="F12" s="13">
        <v>100.18</v>
      </c>
      <c r="G12" s="13" t="s">
        <v>77</v>
      </c>
      <c r="H12" s="14" t="s">
        <v>78</v>
      </c>
      <c r="I12" s="13" t="s">
        <v>79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52"/>
      <c r="B13" s="8">
        <v>2024</v>
      </c>
      <c r="C13" s="10" t="s">
        <v>68</v>
      </c>
      <c r="D13" s="15" t="s">
        <v>0</v>
      </c>
      <c r="E13" s="12" t="s">
        <v>1</v>
      </c>
      <c r="F13" s="13">
        <f>3238.35+163.94</f>
        <v>3402.29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2"/>
      <c r="B14" s="8">
        <v>2024</v>
      </c>
      <c r="C14" s="10" t="s">
        <v>68</v>
      </c>
      <c r="D14" s="15">
        <v>3293</v>
      </c>
      <c r="E14" s="12" t="s">
        <v>73</v>
      </c>
      <c r="F14" s="13">
        <f>201.1</f>
        <v>201.1</v>
      </c>
      <c r="G14" s="13" t="s">
        <v>74</v>
      </c>
      <c r="H14" s="14" t="s">
        <v>75</v>
      </c>
      <c r="I14" s="13" t="s">
        <v>76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30">
      <c r="A15" s="52"/>
      <c r="B15" s="8">
        <v>2024</v>
      </c>
      <c r="C15" s="10" t="s">
        <v>68</v>
      </c>
      <c r="D15" s="15">
        <v>3299</v>
      </c>
      <c r="E15" s="12" t="s">
        <v>84</v>
      </c>
      <c r="F15" s="13">
        <f>350</f>
        <v>350</v>
      </c>
      <c r="G15" s="13" t="s">
        <v>85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30">
      <c r="A16" s="52"/>
      <c r="B16" s="8">
        <v>2024</v>
      </c>
      <c r="C16" s="10" t="s">
        <v>68</v>
      </c>
      <c r="D16" s="15">
        <v>3299</v>
      </c>
      <c r="E16" s="12" t="s">
        <v>84</v>
      </c>
      <c r="F16" s="13">
        <f>6.74</f>
        <v>6.74</v>
      </c>
      <c r="G16" s="13" t="s">
        <v>91</v>
      </c>
      <c r="H16" s="14" t="s">
        <v>86</v>
      </c>
      <c r="I16" s="13" t="s">
        <v>87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30">
      <c r="A17" s="52"/>
      <c r="B17" s="8">
        <v>2024</v>
      </c>
      <c r="C17" s="10" t="s">
        <v>68</v>
      </c>
      <c r="D17" s="15">
        <v>3299</v>
      </c>
      <c r="E17" s="12" t="s">
        <v>84</v>
      </c>
      <c r="F17" s="13">
        <f>36</f>
        <v>36</v>
      </c>
      <c r="G17" s="13" t="s">
        <v>88</v>
      </c>
      <c r="H17" s="14" t="s">
        <v>89</v>
      </c>
      <c r="I17" s="13" t="s">
        <v>90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2"/>
      <c r="B18" s="8">
        <v>2024</v>
      </c>
      <c r="C18" s="10" t="s">
        <v>68</v>
      </c>
      <c r="D18" s="15">
        <v>3299</v>
      </c>
      <c r="E18" s="12" t="s">
        <v>84</v>
      </c>
      <c r="F18" s="13">
        <f>2800</f>
        <v>2800</v>
      </c>
      <c r="G18" s="13" t="s">
        <v>42</v>
      </c>
      <c r="H18" s="14"/>
      <c r="I18" s="13"/>
      <c r="J18" s="4"/>
      <c r="K18" s="4"/>
      <c r="L18" s="4"/>
      <c r="M18" s="4"/>
      <c r="N18" s="4"/>
      <c r="O18" s="4"/>
      <c r="P18" s="4"/>
      <c r="Q18" s="4"/>
    </row>
    <row r="19" spans="1:17" s="1" customFormat="1">
      <c r="A19" s="52"/>
      <c r="B19" s="8">
        <v>2024</v>
      </c>
      <c r="C19" s="10" t="s">
        <v>68</v>
      </c>
      <c r="D19" s="11">
        <v>3295</v>
      </c>
      <c r="E19" s="12" t="s">
        <v>2</v>
      </c>
      <c r="F19" s="13">
        <f>336</f>
        <v>336</v>
      </c>
      <c r="G19" s="13" t="s">
        <v>17</v>
      </c>
      <c r="H19" s="14"/>
      <c r="I19" s="13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52"/>
      <c r="B20" s="8">
        <v>2024</v>
      </c>
      <c r="C20" s="10" t="s">
        <v>68</v>
      </c>
      <c r="D20" s="11">
        <v>3433</v>
      </c>
      <c r="E20" s="12" t="s">
        <v>46</v>
      </c>
      <c r="F20" s="13"/>
      <c r="G20" s="13" t="s">
        <v>17</v>
      </c>
      <c r="H20" s="14"/>
      <c r="I20" s="13"/>
      <c r="J20" s="4"/>
      <c r="K20" s="4"/>
      <c r="L20" s="4"/>
      <c r="M20" s="4"/>
      <c r="N20" s="4"/>
      <c r="O20" s="4"/>
      <c r="P20" s="4"/>
      <c r="Q20" s="4"/>
    </row>
    <row r="21" spans="1:17" s="1" customFormat="1" ht="25.5">
      <c r="A21" s="52"/>
      <c r="B21" s="8">
        <v>2024</v>
      </c>
      <c r="C21" s="10" t="s">
        <v>68</v>
      </c>
      <c r="D21" s="11">
        <v>3431</v>
      </c>
      <c r="E21" s="27" t="s">
        <v>48</v>
      </c>
      <c r="F21" s="13">
        <f>142.5+45.79+48.4+51.51</f>
        <v>288.2</v>
      </c>
      <c r="G21" s="13" t="s">
        <v>26</v>
      </c>
      <c r="H21" s="14" t="s">
        <v>27</v>
      </c>
      <c r="I21" s="13" t="s">
        <v>28</v>
      </c>
      <c r="J21" s="4"/>
      <c r="K21" s="4"/>
      <c r="L21" s="4"/>
      <c r="M21" s="4"/>
      <c r="N21" s="4"/>
      <c r="O21" s="4"/>
      <c r="P21" s="4"/>
      <c r="Q21" s="4"/>
    </row>
    <row r="22" spans="1:17" s="1" customFormat="1" ht="30">
      <c r="A22" s="52"/>
      <c r="B22" s="8">
        <v>2024</v>
      </c>
      <c r="C22" s="10" t="s">
        <v>68</v>
      </c>
      <c r="D22" s="11">
        <v>1291</v>
      </c>
      <c r="E22" s="17" t="s">
        <v>9</v>
      </c>
      <c r="F22" s="13">
        <f>61.92</f>
        <v>61.92</v>
      </c>
      <c r="G22" s="13" t="s">
        <v>18</v>
      </c>
      <c r="H22" s="14"/>
      <c r="I22" s="26" t="s">
        <v>20</v>
      </c>
      <c r="J22" s="4"/>
      <c r="K22" s="4"/>
      <c r="L22" s="4"/>
      <c r="M22" s="4"/>
      <c r="N22" s="4"/>
      <c r="O22" s="4"/>
      <c r="P22" s="4"/>
      <c r="Q22" s="4"/>
    </row>
    <row r="23" spans="1:17" s="1" customFormat="1" ht="25.5">
      <c r="A23" s="53"/>
      <c r="B23" s="8">
        <v>2024</v>
      </c>
      <c r="C23" s="10" t="s">
        <v>68</v>
      </c>
      <c r="D23" s="29">
        <v>2392</v>
      </c>
      <c r="E23" s="33" t="s">
        <v>19</v>
      </c>
      <c r="F23" s="13">
        <f>135636.58</f>
        <v>135636.57999999999</v>
      </c>
      <c r="G23" s="31" t="s">
        <v>17</v>
      </c>
      <c r="H23" s="32"/>
      <c r="I23" s="34"/>
      <c r="J23" s="4"/>
      <c r="K23" s="4"/>
      <c r="L23" s="4"/>
      <c r="M23" s="4"/>
      <c r="N23" s="4"/>
      <c r="O23" s="4"/>
      <c r="P23" s="4"/>
      <c r="Q23" s="4"/>
    </row>
    <row r="24" spans="1:17" s="1" customFormat="1">
      <c r="A24" s="2"/>
      <c r="B24" s="5"/>
      <c r="C24" s="3"/>
      <c r="D24" s="7"/>
      <c r="E24" s="4"/>
      <c r="F24" s="6"/>
      <c r="G24" s="4"/>
      <c r="H24" s="4"/>
      <c r="I24" s="4"/>
      <c r="J24" s="4"/>
      <c r="K24" s="4"/>
      <c r="L24" s="4"/>
      <c r="M24" s="4"/>
      <c r="N24" s="4"/>
      <c r="O24" s="4"/>
    </row>
    <row r="25" spans="1:17" s="1" customFormat="1">
      <c r="A25" s="2"/>
      <c r="B25" s="2"/>
      <c r="C25" s="3"/>
      <c r="D25" s="7"/>
      <c r="E25" s="4"/>
      <c r="F25" s="6"/>
      <c r="G25" s="4"/>
      <c r="H25" s="4"/>
      <c r="I25" s="4"/>
      <c r="J25" s="4"/>
      <c r="K25" s="4"/>
      <c r="L25" s="4"/>
      <c r="M25" s="4"/>
      <c r="N25" s="4"/>
      <c r="O25" s="4"/>
    </row>
    <row r="26" spans="1:17" s="1" customFormat="1">
      <c r="A26" s="2"/>
      <c r="B26" s="2"/>
      <c r="C26" s="3"/>
      <c r="D26" s="7"/>
      <c r="E26" s="4"/>
      <c r="F26" s="24"/>
      <c r="G26" s="4"/>
      <c r="H26" s="4"/>
      <c r="I26" s="4"/>
      <c r="J26" s="4"/>
      <c r="K26" s="4"/>
      <c r="L26" s="4"/>
      <c r="M26" s="4"/>
      <c r="N26" s="4"/>
      <c r="O26" s="4"/>
    </row>
    <row r="28" spans="1:17">
      <c r="F28" s="24"/>
    </row>
  </sheetData>
  <mergeCells count="1">
    <mergeCell ref="A4:A23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3E0F-9F95-44AC-B559-15B6FC6286EA}">
  <dimension ref="A1:S24"/>
  <sheetViews>
    <sheetView topLeftCell="B1" workbookViewId="0">
      <selection activeCell="B12" sqref="A12:XFD12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92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93</v>
      </c>
      <c r="D4" s="11">
        <v>3111</v>
      </c>
      <c r="E4" s="12" t="s">
        <v>3</v>
      </c>
      <c r="F4" s="13">
        <v>170270.14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93</v>
      </c>
      <c r="D5" s="11">
        <v>3113</v>
      </c>
      <c r="E5" s="12" t="s">
        <v>4</v>
      </c>
      <c r="F5" s="13">
        <v>1819.19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93</v>
      </c>
      <c r="D6" s="11">
        <v>3121</v>
      </c>
      <c r="E6" s="12" t="s">
        <v>7</v>
      </c>
      <c r="F6" s="13">
        <f>35</f>
        <v>35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93</v>
      </c>
      <c r="D7" s="11">
        <v>3132</v>
      </c>
      <c r="E7" s="12" t="s">
        <v>6</v>
      </c>
      <c r="F7" s="13">
        <v>27788.45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93</v>
      </c>
      <c r="D8" s="11">
        <v>3211</v>
      </c>
      <c r="E8" s="12" t="s">
        <v>8</v>
      </c>
      <c r="F8" s="13">
        <f>184.2+30+30+30</f>
        <v>274.2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93</v>
      </c>
      <c r="D9" s="11">
        <v>3212</v>
      </c>
      <c r="E9" s="12" t="s">
        <v>5</v>
      </c>
      <c r="F9" s="13">
        <v>2711.34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2"/>
      <c r="B10" s="8">
        <v>2024</v>
      </c>
      <c r="C10" s="10" t="s">
        <v>93</v>
      </c>
      <c r="D10" s="11">
        <v>3221</v>
      </c>
      <c r="E10" s="12" t="s">
        <v>80</v>
      </c>
      <c r="F10" s="13">
        <v>49.99</v>
      </c>
      <c r="G10" s="13" t="s">
        <v>96</v>
      </c>
      <c r="H10" s="14" t="s">
        <v>97</v>
      </c>
      <c r="I10" s="13" t="s">
        <v>98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93</v>
      </c>
      <c r="D11" s="11">
        <v>3224</v>
      </c>
      <c r="E11" s="12" t="s">
        <v>66</v>
      </c>
      <c r="F11" s="13">
        <f>88.78</f>
        <v>88.78</v>
      </c>
      <c r="G11" s="13" t="s">
        <v>77</v>
      </c>
      <c r="H11" s="14" t="s">
        <v>78</v>
      </c>
      <c r="I11" s="13" t="s">
        <v>79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>
      <c r="A12" s="52"/>
      <c r="B12" s="8">
        <v>2024</v>
      </c>
      <c r="C12" s="10" t="s">
        <v>93</v>
      </c>
      <c r="D12" s="11">
        <v>3232</v>
      </c>
      <c r="E12" s="35" t="s">
        <v>33</v>
      </c>
      <c r="F12" s="13">
        <f>7</f>
        <v>7</v>
      </c>
      <c r="G12" s="28" t="s">
        <v>95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52"/>
      <c r="B13" s="8">
        <v>2024</v>
      </c>
      <c r="C13" s="10" t="s">
        <v>93</v>
      </c>
      <c r="D13" s="11">
        <v>3232</v>
      </c>
      <c r="E13" s="35" t="s">
        <v>33</v>
      </c>
      <c r="F13" s="13">
        <f>4.78+11.98</f>
        <v>16.760000000000002</v>
      </c>
      <c r="G13" s="13" t="s">
        <v>94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30">
      <c r="A14" s="52"/>
      <c r="B14" s="8">
        <v>2024</v>
      </c>
      <c r="C14" s="10" t="s">
        <v>93</v>
      </c>
      <c r="D14" s="11">
        <v>3239</v>
      </c>
      <c r="E14" s="35" t="s">
        <v>38</v>
      </c>
      <c r="F14" s="13">
        <f>55+70</f>
        <v>125</v>
      </c>
      <c r="G14" s="28" t="s">
        <v>43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45">
      <c r="A15" s="52"/>
      <c r="B15" s="8">
        <v>2024</v>
      </c>
      <c r="C15" s="10" t="s">
        <v>68</v>
      </c>
      <c r="D15" s="15" t="s">
        <v>0</v>
      </c>
      <c r="E15" s="12" t="s">
        <v>1</v>
      </c>
      <c r="F15" s="13">
        <f>3238.35</f>
        <v>3238.35</v>
      </c>
      <c r="G15" s="13"/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52"/>
      <c r="B16" s="8">
        <v>2024</v>
      </c>
      <c r="C16" s="10" t="s">
        <v>93</v>
      </c>
      <c r="D16" s="11">
        <v>3295</v>
      </c>
      <c r="E16" s="12" t="s">
        <v>2</v>
      </c>
      <c r="F16" s="13">
        <v>336</v>
      </c>
      <c r="G16" s="13" t="s">
        <v>17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52"/>
      <c r="B17" s="8">
        <v>2024</v>
      </c>
      <c r="C17" s="10" t="s">
        <v>93</v>
      </c>
      <c r="D17" s="11">
        <v>3431</v>
      </c>
      <c r="E17" s="27" t="s">
        <v>48</v>
      </c>
      <c r="F17" s="13">
        <f>95.95</f>
        <v>95.95</v>
      </c>
      <c r="G17" s="13" t="s">
        <v>26</v>
      </c>
      <c r="H17" s="14" t="s">
        <v>27</v>
      </c>
      <c r="I17" s="13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2"/>
      <c r="B18" s="8">
        <v>2024</v>
      </c>
      <c r="C18" s="10" t="s">
        <v>93</v>
      </c>
      <c r="D18" s="11">
        <v>1291</v>
      </c>
      <c r="E18" s="17" t="s">
        <v>9</v>
      </c>
      <c r="F18" s="13">
        <v>24.57</v>
      </c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53"/>
      <c r="B19" s="8">
        <v>2024</v>
      </c>
      <c r="C19" s="10" t="s">
        <v>93</v>
      </c>
      <c r="D19" s="29">
        <v>2392</v>
      </c>
      <c r="E19" s="33" t="s">
        <v>19</v>
      </c>
      <c r="F19" s="13">
        <f>297031.38</f>
        <v>297031.38</v>
      </c>
      <c r="G19" s="31" t="s">
        <v>17</v>
      </c>
      <c r="H19" s="32"/>
      <c r="I19" s="34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7">
      <c r="F24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F833-6A3B-4F38-813A-CF2A4A51592E}">
  <dimension ref="A1:S22"/>
  <sheetViews>
    <sheetView workbookViewId="0">
      <selection activeCell="F15" sqref="F15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99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44" customFormat="1" ht="14.45" customHeight="1">
      <c r="A4" s="54" t="s">
        <v>11</v>
      </c>
      <c r="B4" s="41">
        <v>2024</v>
      </c>
      <c r="C4" s="42" t="s">
        <v>100</v>
      </c>
      <c r="D4" s="29">
        <v>3111</v>
      </c>
      <c r="E4" s="30" t="s">
        <v>3</v>
      </c>
      <c r="F4" s="31">
        <v>170270.14</v>
      </c>
      <c r="G4" s="31"/>
      <c r="H4" s="32"/>
      <c r="I4" s="31"/>
      <c r="J4" s="43"/>
      <c r="K4" s="43"/>
      <c r="L4" s="43"/>
      <c r="M4" s="43"/>
      <c r="N4" s="43"/>
      <c r="O4" s="43"/>
      <c r="P4" s="43"/>
      <c r="Q4" s="43"/>
    </row>
    <row r="5" spans="1:19" s="44" customFormat="1">
      <c r="A5" s="55"/>
      <c r="B5" s="41">
        <v>2024</v>
      </c>
      <c r="C5" s="42" t="s">
        <v>100</v>
      </c>
      <c r="D5" s="29">
        <v>3113</v>
      </c>
      <c r="E5" s="30" t="s">
        <v>4</v>
      </c>
      <c r="F5" s="31">
        <v>1819.19</v>
      </c>
      <c r="G5" s="31"/>
      <c r="H5" s="32"/>
      <c r="I5" s="31"/>
      <c r="J5" s="43"/>
      <c r="K5" s="43"/>
      <c r="L5" s="43"/>
      <c r="M5" s="43"/>
      <c r="N5" s="43"/>
      <c r="O5" s="43"/>
      <c r="P5" s="43"/>
      <c r="Q5" s="43"/>
    </row>
    <row r="6" spans="1:19" s="44" customFormat="1">
      <c r="A6" s="55"/>
      <c r="B6" s="41">
        <v>2024</v>
      </c>
      <c r="C6" s="42" t="s">
        <v>100</v>
      </c>
      <c r="D6" s="29">
        <v>3121</v>
      </c>
      <c r="E6" s="30" t="s">
        <v>7</v>
      </c>
      <c r="F6" s="31">
        <f>35</f>
        <v>35</v>
      </c>
      <c r="G6" s="31"/>
      <c r="H6" s="32"/>
      <c r="I6" s="31"/>
      <c r="J6" s="43"/>
      <c r="K6" s="43"/>
      <c r="L6" s="43"/>
      <c r="M6" s="43"/>
      <c r="N6" s="43"/>
      <c r="O6" s="43"/>
      <c r="P6" s="43"/>
      <c r="Q6" s="43"/>
    </row>
    <row r="7" spans="1:19" s="44" customFormat="1" ht="30">
      <c r="A7" s="55"/>
      <c r="B7" s="41">
        <v>2024</v>
      </c>
      <c r="C7" s="42" t="s">
        <v>100</v>
      </c>
      <c r="D7" s="29">
        <v>3132</v>
      </c>
      <c r="E7" s="30" t="s">
        <v>6</v>
      </c>
      <c r="F7" s="31">
        <v>27788.45</v>
      </c>
      <c r="G7" s="31"/>
      <c r="H7" s="32"/>
      <c r="I7" s="31"/>
      <c r="J7" s="43"/>
      <c r="K7" s="43"/>
      <c r="L7" s="43"/>
      <c r="M7" s="43"/>
      <c r="N7" s="43"/>
      <c r="O7" s="43"/>
      <c r="P7" s="43"/>
      <c r="Q7" s="43"/>
    </row>
    <row r="8" spans="1:19" s="44" customFormat="1">
      <c r="A8" s="55"/>
      <c r="B8" s="41">
        <v>2024</v>
      </c>
      <c r="C8" s="42" t="s">
        <v>100</v>
      </c>
      <c r="D8" s="29">
        <v>3211</v>
      </c>
      <c r="E8" s="30" t="s">
        <v>8</v>
      </c>
      <c r="F8" s="31">
        <f>480+56180</f>
        <v>56660</v>
      </c>
      <c r="G8" s="31"/>
      <c r="H8" s="32"/>
      <c r="I8" s="31"/>
      <c r="J8" s="43"/>
      <c r="K8" s="43"/>
      <c r="L8" s="43"/>
      <c r="M8" s="43"/>
      <c r="N8" s="43"/>
      <c r="O8" s="43"/>
      <c r="P8" s="43"/>
      <c r="Q8" s="43"/>
    </row>
    <row r="9" spans="1:19" s="44" customFormat="1" ht="30">
      <c r="A9" s="55"/>
      <c r="B9" s="41">
        <v>2024</v>
      </c>
      <c r="C9" s="42" t="s">
        <v>100</v>
      </c>
      <c r="D9" s="29">
        <v>3212</v>
      </c>
      <c r="E9" s="30" t="s">
        <v>5</v>
      </c>
      <c r="F9" s="31">
        <v>2711.34</v>
      </c>
      <c r="G9" s="31"/>
      <c r="H9" s="32"/>
      <c r="I9" s="31"/>
      <c r="J9" s="43"/>
      <c r="K9" s="43"/>
      <c r="L9" s="43"/>
      <c r="M9" s="43"/>
      <c r="N9" s="43"/>
      <c r="O9" s="43"/>
      <c r="P9" s="43"/>
      <c r="Q9" s="43"/>
    </row>
    <row r="10" spans="1:19" s="44" customFormat="1" ht="30">
      <c r="A10" s="55"/>
      <c r="B10" s="41">
        <v>2024</v>
      </c>
      <c r="C10" s="42" t="s">
        <v>100</v>
      </c>
      <c r="D10" s="29">
        <v>3235</v>
      </c>
      <c r="E10" s="30" t="s">
        <v>101</v>
      </c>
      <c r="F10" s="31">
        <f>33.6</f>
        <v>33.6</v>
      </c>
      <c r="G10" s="31" t="s">
        <v>102</v>
      </c>
      <c r="H10" s="32"/>
      <c r="I10" s="36" t="s">
        <v>103</v>
      </c>
      <c r="J10" s="43"/>
      <c r="K10" s="43"/>
      <c r="L10" s="43"/>
      <c r="M10" s="43"/>
      <c r="N10" s="43"/>
      <c r="O10" s="43"/>
      <c r="P10" s="43"/>
      <c r="Q10" s="43"/>
    </row>
    <row r="11" spans="1:19" s="44" customFormat="1" ht="30">
      <c r="A11" s="55"/>
      <c r="B11" s="41">
        <v>2024</v>
      </c>
      <c r="C11" s="42" t="s">
        <v>100</v>
      </c>
      <c r="D11" s="29">
        <v>3239</v>
      </c>
      <c r="E11" s="35" t="s">
        <v>38</v>
      </c>
      <c r="F11" s="31">
        <f>30+30</f>
        <v>60</v>
      </c>
      <c r="G11" s="36" t="s">
        <v>43</v>
      </c>
      <c r="H11" s="32"/>
      <c r="I11" s="36"/>
      <c r="J11" s="43"/>
      <c r="K11" s="43"/>
      <c r="L11" s="43"/>
      <c r="M11" s="43"/>
      <c r="N11" s="43"/>
      <c r="O11" s="43"/>
      <c r="P11" s="43"/>
      <c r="Q11" s="43"/>
    </row>
    <row r="12" spans="1:19" s="44" customFormat="1" ht="45">
      <c r="A12" s="55"/>
      <c r="B12" s="41">
        <v>2024</v>
      </c>
      <c r="C12" s="42" t="s">
        <v>100</v>
      </c>
      <c r="D12" s="37" t="s">
        <v>0</v>
      </c>
      <c r="E12" s="30" t="s">
        <v>1</v>
      </c>
      <c r="F12" s="31">
        <f>3238.35</f>
        <v>3238.35</v>
      </c>
      <c r="G12" s="31"/>
      <c r="H12" s="32"/>
      <c r="I12" s="31"/>
      <c r="J12" s="43"/>
      <c r="K12" s="43"/>
      <c r="L12" s="43"/>
      <c r="M12" s="43"/>
      <c r="N12" s="43"/>
      <c r="O12" s="43"/>
      <c r="P12" s="43"/>
      <c r="Q12" s="43"/>
    </row>
    <row r="13" spans="1:19" s="44" customFormat="1">
      <c r="A13" s="55"/>
      <c r="B13" s="41">
        <v>2024</v>
      </c>
      <c r="C13" s="42" t="s">
        <v>100</v>
      </c>
      <c r="D13" s="29">
        <v>3295</v>
      </c>
      <c r="E13" s="30" t="s">
        <v>2</v>
      </c>
      <c r="F13" s="31">
        <v>336</v>
      </c>
      <c r="G13" s="31" t="s">
        <v>17</v>
      </c>
      <c r="H13" s="32"/>
      <c r="I13" s="31"/>
      <c r="J13" s="43"/>
      <c r="K13" s="43"/>
      <c r="L13" s="43"/>
      <c r="M13" s="43"/>
      <c r="N13" s="43"/>
      <c r="O13" s="43"/>
      <c r="P13" s="43"/>
      <c r="Q13" s="43"/>
    </row>
    <row r="14" spans="1:19" s="1" customFormat="1" ht="25.5">
      <c r="A14" s="55"/>
      <c r="B14" s="8">
        <v>2024</v>
      </c>
      <c r="C14" s="10" t="s">
        <v>100</v>
      </c>
      <c r="D14" s="11">
        <v>3431</v>
      </c>
      <c r="E14" s="27" t="s">
        <v>48</v>
      </c>
      <c r="F14" s="13">
        <f>8.3+15+15+8.3+14.04+8.3</f>
        <v>68.94</v>
      </c>
      <c r="G14" s="13" t="s">
        <v>53</v>
      </c>
      <c r="H14" s="14" t="s">
        <v>54</v>
      </c>
      <c r="I14" s="13" t="s">
        <v>55</v>
      </c>
      <c r="J14" s="4"/>
      <c r="K14" s="4"/>
      <c r="L14" s="4"/>
      <c r="M14" s="4"/>
      <c r="N14" s="4"/>
      <c r="O14" s="4"/>
      <c r="P14" s="4"/>
      <c r="Q14" s="4"/>
    </row>
    <row r="15" spans="1:19" s="44" customFormat="1" ht="25.5">
      <c r="A15" s="55"/>
      <c r="B15" s="41">
        <v>2024</v>
      </c>
      <c r="C15" s="42" t="s">
        <v>100</v>
      </c>
      <c r="D15" s="29">
        <v>3431</v>
      </c>
      <c r="E15" s="35" t="s">
        <v>48</v>
      </c>
      <c r="F15" s="31">
        <f>30.78+169.82+40.86+51.71</f>
        <v>293.16999999999996</v>
      </c>
      <c r="G15" s="31" t="s">
        <v>26</v>
      </c>
      <c r="H15" s="32" t="s">
        <v>27</v>
      </c>
      <c r="I15" s="31" t="s">
        <v>28</v>
      </c>
      <c r="J15" s="43"/>
      <c r="K15" s="43"/>
      <c r="L15" s="43"/>
      <c r="M15" s="43"/>
      <c r="N15" s="43"/>
      <c r="O15" s="43"/>
      <c r="P15" s="43"/>
      <c r="Q15" s="43"/>
    </row>
    <row r="16" spans="1:19" s="44" customFormat="1" ht="30">
      <c r="A16" s="55"/>
      <c r="B16" s="41">
        <v>2024</v>
      </c>
      <c r="C16" s="42" t="s">
        <v>100</v>
      </c>
      <c r="D16" s="29">
        <v>1291</v>
      </c>
      <c r="E16" s="39" t="s">
        <v>9</v>
      </c>
      <c r="F16" s="31">
        <v>154.1</v>
      </c>
      <c r="G16" s="31" t="s">
        <v>18</v>
      </c>
      <c r="H16" s="32"/>
      <c r="I16" s="40" t="s">
        <v>20</v>
      </c>
      <c r="J16" s="43"/>
      <c r="K16" s="43"/>
      <c r="L16" s="43"/>
      <c r="M16" s="43"/>
      <c r="N16" s="43"/>
      <c r="O16" s="43"/>
      <c r="P16" s="43"/>
      <c r="Q16" s="43"/>
    </row>
    <row r="17" spans="1:17" s="44" customFormat="1" ht="23.25" customHeight="1">
      <c r="A17" s="56"/>
      <c r="B17" s="41">
        <v>2024</v>
      </c>
      <c r="C17" s="42" t="s">
        <v>100</v>
      </c>
      <c r="D17" s="29">
        <v>2392</v>
      </c>
      <c r="E17" s="33" t="s">
        <v>19</v>
      </c>
      <c r="F17" s="31">
        <v>103167.39</v>
      </c>
      <c r="G17" s="31" t="s">
        <v>17</v>
      </c>
      <c r="H17" s="32"/>
      <c r="I17" s="34"/>
      <c r="J17" s="43"/>
      <c r="K17" s="43"/>
      <c r="L17" s="43"/>
      <c r="M17" s="43"/>
      <c r="N17" s="43"/>
      <c r="O17" s="43"/>
      <c r="P17" s="43"/>
      <c r="Q17" s="43"/>
    </row>
    <row r="18" spans="1:17" s="1" customFormat="1">
      <c r="A18" s="2"/>
      <c r="B18" s="5"/>
      <c r="C18" s="3"/>
      <c r="D18" s="7"/>
      <c r="E18" s="4"/>
      <c r="F18" s="6"/>
      <c r="G18" s="4"/>
      <c r="H18" s="4"/>
      <c r="I18" s="4"/>
      <c r="J18" s="4"/>
      <c r="K18" s="4"/>
      <c r="L18" s="4"/>
      <c r="M18" s="4"/>
      <c r="N18" s="4"/>
      <c r="O18" s="4"/>
    </row>
    <row r="19" spans="1:17" s="1" customFormat="1">
      <c r="A19" s="2"/>
      <c r="B19" s="2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>
      <c r="A20" s="2"/>
      <c r="B20" s="2"/>
      <c r="C20" s="3"/>
      <c r="D20" s="7"/>
      <c r="E20" s="4"/>
      <c r="F20" s="24"/>
      <c r="G20" s="4"/>
      <c r="H20" s="4"/>
      <c r="I20" s="4"/>
      <c r="J20" s="4"/>
      <c r="K20" s="4"/>
      <c r="L20" s="4"/>
      <c r="M20" s="4"/>
      <c r="N20" s="4"/>
      <c r="O20" s="4"/>
    </row>
    <row r="22" spans="1:17">
      <c r="F22" s="24"/>
    </row>
  </sheetData>
  <mergeCells count="1">
    <mergeCell ref="A4:A17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8501-AA5B-4437-9843-13467E3B82D3}">
  <dimension ref="A1:S23"/>
  <sheetViews>
    <sheetView workbookViewId="0">
      <selection activeCell="B17" sqref="A17:XFD17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104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2024</v>
      </c>
      <c r="C4" s="10" t="s">
        <v>105</v>
      </c>
      <c r="D4" s="11">
        <v>3111</v>
      </c>
      <c r="E4" s="12" t="s">
        <v>3</v>
      </c>
      <c r="F4" s="13">
        <f>164950.22</f>
        <v>164950.22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2024</v>
      </c>
      <c r="C5" s="10" t="s">
        <v>105</v>
      </c>
      <c r="D5" s="11">
        <v>3113</v>
      </c>
      <c r="E5" s="12" t="s">
        <v>4</v>
      </c>
      <c r="F5" s="13">
        <f>2287.21</f>
        <v>2287.21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2024</v>
      </c>
      <c r="C6" s="10" t="s">
        <v>105</v>
      </c>
      <c r="D6" s="11">
        <v>3121</v>
      </c>
      <c r="E6" s="12" t="s">
        <v>7</v>
      </c>
      <c r="F6" s="13">
        <f>7995.79+70</f>
        <v>8065.79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8"/>
      <c r="B7" s="8">
        <v>2024</v>
      </c>
      <c r="C7" s="10" t="s">
        <v>105</v>
      </c>
      <c r="D7" s="11">
        <v>3132</v>
      </c>
      <c r="E7" s="12" t="s">
        <v>6</v>
      </c>
      <c r="F7" s="13">
        <f>1319.31+26909.51</f>
        <v>28228.82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8"/>
      <c r="B8" s="8">
        <v>2024</v>
      </c>
      <c r="C8" s="10" t="s">
        <v>105</v>
      </c>
      <c r="D8" s="11">
        <v>3211</v>
      </c>
      <c r="E8" s="12" t="s">
        <v>8</v>
      </c>
      <c r="F8" s="13">
        <f>15+15+15+195+45+22.5+15+30+30+85+80+88.5+60+109+60+167.88+88+80+15</f>
        <v>1215.8800000000001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8"/>
      <c r="B9" s="8">
        <v>2024</v>
      </c>
      <c r="C9" s="10" t="s">
        <v>105</v>
      </c>
      <c r="D9" s="11">
        <v>3212</v>
      </c>
      <c r="E9" s="12" t="s">
        <v>5</v>
      </c>
      <c r="F9" s="13">
        <f>3696.39</f>
        <v>3696.39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5.5">
      <c r="A10" s="58"/>
      <c r="B10" s="8">
        <v>2024</v>
      </c>
      <c r="C10" s="10" t="s">
        <v>105</v>
      </c>
      <c r="D10" s="11">
        <v>3232</v>
      </c>
      <c r="E10" s="27" t="s">
        <v>33</v>
      </c>
      <c r="F10" s="13">
        <f>13</f>
        <v>13</v>
      </c>
      <c r="G10" s="28" t="s">
        <v>106</v>
      </c>
      <c r="H10" s="14" t="s">
        <v>107</v>
      </c>
      <c r="I10" s="13" t="s">
        <v>108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8"/>
      <c r="B11" s="8">
        <v>2024</v>
      </c>
      <c r="C11" s="10" t="s">
        <v>105</v>
      </c>
      <c r="D11" s="11">
        <v>3239</v>
      </c>
      <c r="E11" s="27" t="s">
        <v>38</v>
      </c>
      <c r="F11" s="13">
        <f>25+25</f>
        <v>50</v>
      </c>
      <c r="G11" s="28" t="s">
        <v>43</v>
      </c>
      <c r="H11" s="14"/>
      <c r="I11" s="28"/>
      <c r="J11" s="4"/>
      <c r="K11" s="4"/>
      <c r="L11" s="4"/>
      <c r="M11" s="4"/>
      <c r="N11" s="4"/>
      <c r="O11" s="4"/>
      <c r="P11" s="4"/>
      <c r="Q11" s="4"/>
    </row>
    <row r="12" spans="1:19" s="1" customFormat="1" ht="45">
      <c r="A12" s="58"/>
      <c r="B12" s="8">
        <v>2024</v>
      </c>
      <c r="C12" s="10" t="s">
        <v>105</v>
      </c>
      <c r="D12" s="15" t="s">
        <v>0</v>
      </c>
      <c r="E12" s="12" t="s">
        <v>1</v>
      </c>
      <c r="F12" s="13">
        <f>3238.35+163.94</f>
        <v>3402.29</v>
      </c>
      <c r="G12" s="13"/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>
      <c r="A13" s="58"/>
      <c r="B13" s="8">
        <v>2024</v>
      </c>
      <c r="C13" s="10" t="s">
        <v>105</v>
      </c>
      <c r="D13" s="11">
        <v>3295</v>
      </c>
      <c r="E13" s="12" t="s">
        <v>2</v>
      </c>
      <c r="F13" s="13">
        <f>500+336</f>
        <v>836</v>
      </c>
      <c r="G13" s="13" t="s">
        <v>17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25.5">
      <c r="A14" s="58"/>
      <c r="B14" s="8">
        <v>2024</v>
      </c>
      <c r="C14" s="10" t="s">
        <v>105</v>
      </c>
      <c r="D14" s="11">
        <v>3431</v>
      </c>
      <c r="E14" s="27" t="s">
        <v>48</v>
      </c>
      <c r="F14" s="13">
        <f>8.3+8.06</f>
        <v>16.36</v>
      </c>
      <c r="G14" s="13" t="s">
        <v>53</v>
      </c>
      <c r="H14" s="14" t="s">
        <v>54</v>
      </c>
      <c r="I14" s="13" t="s">
        <v>55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5.5">
      <c r="A15" s="58"/>
      <c r="B15" s="8">
        <v>2024</v>
      </c>
      <c r="C15" s="10" t="s">
        <v>105</v>
      </c>
      <c r="D15" s="11">
        <v>3431</v>
      </c>
      <c r="E15" s="27" t="s">
        <v>48</v>
      </c>
      <c r="F15" s="13">
        <f>10.8+149.04+1.22+38.8+41.69+151.84+26.23</f>
        <v>419.62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58"/>
      <c r="B16" s="8">
        <v>2024</v>
      </c>
      <c r="C16" s="10" t="s">
        <v>105</v>
      </c>
      <c r="D16" s="11">
        <v>3433</v>
      </c>
      <c r="E16" s="27" t="s">
        <v>46</v>
      </c>
      <c r="F16" s="13">
        <f>1.66+0.26+0.08+0.24</f>
        <v>2.2400000000000002</v>
      </c>
      <c r="G16" s="28" t="s">
        <v>42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 ht="30">
      <c r="A17" s="58"/>
      <c r="B17" s="8">
        <v>2024</v>
      </c>
      <c r="C17" s="10" t="s">
        <v>105</v>
      </c>
      <c r="D17" s="11">
        <v>1291</v>
      </c>
      <c r="E17" s="17" t="s">
        <v>9</v>
      </c>
      <c r="F17" s="13">
        <f>64.67</f>
        <v>64.67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3.25" customHeight="1">
      <c r="A18" s="59"/>
      <c r="B18" s="8">
        <v>2024</v>
      </c>
      <c r="C18" s="10" t="s">
        <v>105</v>
      </c>
      <c r="D18" s="11">
        <v>2392</v>
      </c>
      <c r="E18" s="18" t="s">
        <v>19</v>
      </c>
      <c r="F18" s="13">
        <f>2090.26+74597.2</f>
        <v>76687.459999999992</v>
      </c>
      <c r="G18" s="13" t="s">
        <v>17</v>
      </c>
      <c r="H18" s="14"/>
      <c r="I18" s="9"/>
      <c r="J18" s="4"/>
      <c r="K18" s="4"/>
      <c r="L18" s="4"/>
      <c r="M18" s="4"/>
      <c r="N18" s="4"/>
      <c r="O18" s="4"/>
      <c r="P18" s="4"/>
      <c r="Q18" s="4"/>
    </row>
    <row r="19" spans="1:17" s="1" customFormat="1">
      <c r="A19" s="2"/>
      <c r="B19" s="5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>
      <c r="A20" s="2"/>
      <c r="B20" s="2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</row>
    <row r="23" spans="1:17">
      <c r="F23" s="24"/>
    </row>
  </sheetData>
  <mergeCells count="1">
    <mergeCell ref="A4:A1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86E2-7CB8-4E71-8B62-9063E06B51B6}">
  <dimension ref="A1:S20"/>
  <sheetViews>
    <sheetView workbookViewId="0">
      <selection activeCell="F14" sqref="F14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109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2024</v>
      </c>
      <c r="C4" s="10" t="s">
        <v>110</v>
      </c>
      <c r="D4" s="11">
        <v>3111</v>
      </c>
      <c r="E4" s="12" t="s">
        <v>3</v>
      </c>
      <c r="F4" s="13">
        <v>164617.89000000001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2024</v>
      </c>
      <c r="C5" s="10" t="s">
        <v>110</v>
      </c>
      <c r="D5" s="11">
        <v>3113</v>
      </c>
      <c r="E5" s="12" t="s">
        <v>4</v>
      </c>
      <c r="F5" s="13">
        <v>1227.95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2024</v>
      </c>
      <c r="C6" s="10" t="s">
        <v>110</v>
      </c>
      <c r="D6" s="11">
        <v>3121</v>
      </c>
      <c r="E6" s="12" t="s">
        <v>7</v>
      </c>
      <c r="F6" s="13">
        <v>63.91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8"/>
      <c r="B7" s="8">
        <v>2024</v>
      </c>
      <c r="C7" s="10" t="s">
        <v>110</v>
      </c>
      <c r="D7" s="11">
        <v>3132</v>
      </c>
      <c r="E7" s="12" t="s">
        <v>6</v>
      </c>
      <c r="F7" s="13">
        <v>26749.73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8"/>
      <c r="B8" s="8">
        <v>2024</v>
      </c>
      <c r="C8" s="10" t="s">
        <v>110</v>
      </c>
      <c r="D8" s="11">
        <v>3211</v>
      </c>
      <c r="E8" s="12" t="s">
        <v>8</v>
      </c>
      <c r="F8" s="13">
        <f>300+183.8+255.98+234.1</f>
        <v>973.88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8"/>
      <c r="B9" s="8">
        <v>2024</v>
      </c>
      <c r="C9" s="10" t="s">
        <v>110</v>
      </c>
      <c r="D9" s="11">
        <v>3212</v>
      </c>
      <c r="E9" s="12" t="s">
        <v>5</v>
      </c>
      <c r="F9" s="13">
        <v>4350.95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>
      <c r="A10" s="58"/>
      <c r="B10" s="8">
        <v>2024</v>
      </c>
      <c r="C10" s="10" t="s">
        <v>110</v>
      </c>
      <c r="D10" s="11">
        <v>3223</v>
      </c>
      <c r="E10" s="27" t="s">
        <v>114</v>
      </c>
      <c r="F10" s="13">
        <f>26.86</f>
        <v>26.86</v>
      </c>
      <c r="G10" s="28" t="s">
        <v>111</v>
      </c>
      <c r="H10" s="14" t="s">
        <v>112</v>
      </c>
      <c r="I10" s="13" t="s">
        <v>113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45">
      <c r="A11" s="58"/>
      <c r="B11" s="8">
        <v>2024</v>
      </c>
      <c r="C11" s="10" t="s">
        <v>110</v>
      </c>
      <c r="D11" s="15" t="s">
        <v>0</v>
      </c>
      <c r="E11" s="12" t="s">
        <v>1</v>
      </c>
      <c r="F11" s="13">
        <f>3238.35</f>
        <v>3238.35</v>
      </c>
      <c r="G11" s="13"/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8"/>
      <c r="B12" s="8">
        <v>2024</v>
      </c>
      <c r="C12" s="10" t="s">
        <v>110</v>
      </c>
      <c r="D12" s="11">
        <v>3295</v>
      </c>
      <c r="E12" s="12" t="s">
        <v>2</v>
      </c>
      <c r="F12" s="13">
        <f>7.95+336</f>
        <v>343.95</v>
      </c>
      <c r="G12" s="13" t="s">
        <v>17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58"/>
      <c r="B13" s="8">
        <v>2024</v>
      </c>
      <c r="C13" s="10" t="s">
        <v>110</v>
      </c>
      <c r="D13" s="11">
        <v>3431</v>
      </c>
      <c r="E13" s="27" t="s">
        <v>48</v>
      </c>
      <c r="F13" s="13">
        <f>8.3+22.16</f>
        <v>30.46</v>
      </c>
      <c r="G13" s="13" t="s">
        <v>53</v>
      </c>
      <c r="H13" s="14" t="s">
        <v>54</v>
      </c>
      <c r="I13" s="13" t="s">
        <v>55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25.5">
      <c r="A14" s="58"/>
      <c r="B14" s="8">
        <v>2024</v>
      </c>
      <c r="C14" s="10" t="s">
        <v>110</v>
      </c>
      <c r="D14" s="11">
        <v>3431</v>
      </c>
      <c r="E14" s="27" t="s">
        <v>48</v>
      </c>
      <c r="F14" s="13">
        <f>1.15+52.71+50.02+9.63+170.22</f>
        <v>283.73</v>
      </c>
      <c r="G14" s="13" t="s">
        <v>26</v>
      </c>
      <c r="H14" s="14" t="s">
        <v>27</v>
      </c>
      <c r="I14" s="13" t="s">
        <v>28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3.25" customHeight="1">
      <c r="A15" s="59"/>
      <c r="B15" s="8">
        <v>2024</v>
      </c>
      <c r="C15" s="10" t="s">
        <v>110</v>
      </c>
      <c r="D15" s="11">
        <v>2392</v>
      </c>
      <c r="E15" s="18" t="s">
        <v>19</v>
      </c>
      <c r="F15" s="13">
        <f>59096.38</f>
        <v>59096.38</v>
      </c>
      <c r="G15" s="13" t="s">
        <v>17</v>
      </c>
      <c r="H15" s="14"/>
      <c r="I15" s="9"/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2"/>
      <c r="B16" s="5"/>
      <c r="C16" s="3"/>
      <c r="D16" s="7"/>
      <c r="E16" s="4"/>
      <c r="F16" s="6"/>
      <c r="G16" s="4"/>
      <c r="H16" s="4"/>
      <c r="I16" s="4"/>
      <c r="J16" s="4"/>
      <c r="K16" s="4"/>
      <c r="L16" s="4"/>
      <c r="M16" s="4"/>
      <c r="N16" s="4"/>
      <c r="O16" s="4"/>
    </row>
    <row r="17" spans="1:15" s="1" customFormat="1">
      <c r="A17" s="2"/>
      <c r="B17" s="2"/>
      <c r="C17" s="3"/>
      <c r="D17" s="7"/>
      <c r="E17" s="4"/>
      <c r="F17" s="6"/>
      <c r="G17" s="4"/>
      <c r="H17" s="4"/>
      <c r="I17" s="4"/>
      <c r="J17" s="4"/>
      <c r="K17" s="4"/>
      <c r="L17" s="4"/>
      <c r="M17" s="4"/>
      <c r="N17" s="4"/>
      <c r="O17" s="4"/>
    </row>
    <row r="18" spans="1:15" s="1" customFormat="1">
      <c r="A18" s="2"/>
      <c r="B18" s="2"/>
      <c r="C18" s="3"/>
      <c r="D18" s="7"/>
      <c r="E18" s="4"/>
      <c r="F18" s="24"/>
      <c r="G18" s="4"/>
      <c r="H18" s="4"/>
      <c r="I18" s="4"/>
      <c r="J18" s="4"/>
      <c r="K18" s="4"/>
      <c r="L18" s="4"/>
      <c r="M18" s="4"/>
      <c r="N18" s="4"/>
      <c r="O18" s="4"/>
    </row>
    <row r="20" spans="1:15">
      <c r="F20" s="24"/>
    </row>
  </sheetData>
  <mergeCells count="1">
    <mergeCell ref="A4:A15"/>
  </mergeCells>
  <phoneticPr fontId="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C89C920B950845A5A9F791F535ECDE" ma:contentTypeVersion="4" ma:contentTypeDescription="Create a new document." ma:contentTypeScope="" ma:versionID="284aa492a9fea19a047e720e936e715c">
  <xsd:schema xmlns:xsd="http://www.w3.org/2001/XMLSchema" xmlns:xs="http://www.w3.org/2001/XMLSchema" xmlns:p="http://schemas.microsoft.com/office/2006/metadata/properties" xmlns:ns3="9b7565f6-e040-447e-857f-ebf207ecbd59" targetNamespace="http://schemas.microsoft.com/office/2006/metadata/properties" ma:root="true" ma:fieldsID="fc32df0a404690dc0de6577f61458843" ns3:_="">
    <xsd:import namespace="9b7565f6-e040-447e-857f-ebf207ecbd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565f6-e040-447e-857f-ebf207ecbd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454995-73C5-4C2F-B294-AE73BABFF8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94D255-19BD-40AB-A7F4-1E8A49B2F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65f6-e040-447e-857f-ebf207ec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EC8862-0A03-497B-A7BD-491F221A1168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65f6-e040-447e-857f-ebf207ecbd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objava 03</vt:lpstr>
      <vt:lpstr>objava 04</vt:lpstr>
      <vt:lpstr>objava 05</vt:lpstr>
      <vt:lpstr>objava 06</vt:lpstr>
      <vt:lpstr>objava 07</vt:lpstr>
      <vt:lpstr>objava 08</vt:lpstr>
      <vt:lpstr>objava 09</vt:lpstr>
      <vt:lpstr>objava 10</vt:lpstr>
      <vt:lpstr>objava 11</vt:lpstr>
      <vt:lpstr>objava 12</vt:lpstr>
      <vt:lpstr>objava 01-25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Buljan Cota</dc:creator>
  <cp:lastModifiedBy>Martina Matanovic</cp:lastModifiedBy>
  <cp:lastPrinted>2024-04-08T12:42:22Z</cp:lastPrinted>
  <dcterms:created xsi:type="dcterms:W3CDTF">2024-02-07T13:07:52Z</dcterms:created>
  <dcterms:modified xsi:type="dcterms:W3CDTF">2025-02-18T11:46:40Z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0x010100B5C89C920B950845A5A9F791F535ECDE</vt:lpwstr>
  </property>
</Properties>
</file>